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3.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14.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21.xml" ContentType="application/vnd.openxmlformats-officedocument.drawingml.chart+xml"/>
  <Override PartName="/xl/charts/style9.xml" ContentType="application/vnd.ms-office.chartstyle+xml"/>
  <Override PartName="/xl/charts/colors9.xml" ContentType="application/vnd.ms-office.chartcolorstyle+xml"/>
  <Override PartName="/xl/charts/chart22.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D:\Reliance fm\"/>
    </mc:Choice>
  </mc:AlternateContent>
  <xr:revisionPtr revIDLastSave="0" documentId="13_ncr:1_{830233C0-56F4-475B-BB40-C8227A3D0359}" xr6:coauthVersionLast="47" xr6:coauthVersionMax="47" xr10:uidLastSave="{00000000-0000-0000-0000-000000000000}"/>
  <bookViews>
    <workbookView xWindow="-120" yWindow="-120" windowWidth="29040" windowHeight="15720" tabRatio="902" activeTab="13" xr2:uid="{00000000-000D-0000-FFFF-FFFF00000000}"/>
  </bookViews>
  <sheets>
    <sheet name="One page" sheetId="7" r:id="rId1"/>
    <sheet name="Historical Financial Statement" sheetId="9" r:id="rId2"/>
    <sheet name="Trend Analysis" sheetId="11" r:id="rId3"/>
    <sheet name="common size" sheetId="12" r:id="rId4"/>
    <sheet name="Forecasting" sheetId="13" r:id="rId5"/>
    <sheet name="Beta Regression" sheetId="14" r:id="rId6"/>
    <sheet name="WACC" sheetId="15" r:id="rId7"/>
    <sheet name="Intrinsic Growth" sheetId="21" r:id="rId8"/>
    <sheet name="DCF" sheetId="20" r:id="rId9"/>
    <sheet name="Comp Company" sheetId="22" r:id="rId10"/>
    <sheet name="football field" sheetId="23" r:id="rId11"/>
    <sheet name="VAR" sheetId="24" r:id="rId12"/>
    <sheet name="Dupont" sheetId="25" r:id="rId13"/>
    <sheet name="Altman Z" sheetId="29" r:id="rId14"/>
    <sheet name="Data-&gt;" sheetId="16" r:id="rId15"/>
    <sheet name="Comps" sheetId="27" r:id="rId16"/>
    <sheet name="Raw FM" sheetId="18" r:id="rId17"/>
    <sheet name="beta- comps" sheetId="17" r:id="rId18"/>
    <sheet name="RM" sheetId="19" r:id="rId19"/>
    <sheet name="Sheet2" sheetId="31" r:id="rId20"/>
    <sheet name="Data Sheet" sheetId="6" r:id="rId21"/>
    <sheet name="cash Flow" sheetId="10" r:id="rId22"/>
    <sheet name="inputsheet" sheetId="8" r:id="rId23"/>
    <sheet name="Stock" sheetId="30" r:id="rId24"/>
  </sheets>
  <externalReferences>
    <externalReference r:id="rId25"/>
  </externalReferences>
  <definedNames>
    <definedName name="_xlnm._FilterDatabase" localSheetId="11" hidden="1">VAR!$B$8:$E$8</definedName>
    <definedName name="_xlnm.Print_Area" localSheetId="13">'Altman Z'!$A$1:$L$118</definedName>
    <definedName name="_xlnm.Print_Area" localSheetId="5">'Beta Regression'!$A$1:$K$74</definedName>
    <definedName name="_xlnm.Print_Area" localSheetId="3">'common size'!$A$1:$N$51</definedName>
    <definedName name="_xlnm.Print_Area" localSheetId="9">'Comp Company'!$A$1:$R$46</definedName>
    <definedName name="_xlnm.Print_Area" localSheetId="8">DCF!$A$1:$L$59</definedName>
    <definedName name="_xlnm.Print_Area" localSheetId="12">Dupont!$A$1:$L$118</definedName>
    <definedName name="_xlnm.Print_Area" localSheetId="10">'football field'!$A$1:$Q$43</definedName>
    <definedName name="_xlnm.Print_Area" localSheetId="4">Forecasting!$A$1:$K$73</definedName>
    <definedName name="_xlnm.Print_Area" localSheetId="1">'Historical Financial Statement'!$A$1:$P$122</definedName>
    <definedName name="_xlnm.Print_Area" localSheetId="7">'Intrinsic Growth'!$A$1:$L$80</definedName>
    <definedName name="_xlnm.Print_Area" localSheetId="0">'One page'!$A$1:$N$76</definedName>
    <definedName name="_xlnm.Print_Area" localSheetId="2">'Trend Analysis'!$B$1:$Q$54</definedName>
    <definedName name="_xlnm.Print_Area" localSheetId="11">VAR!$A$1:$N$79</definedName>
    <definedName name="_xlnm.Print_Area" localSheetId="6">WACC!$A$1:$L$61</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24" l="1"/>
  <c r="M47" i="7"/>
  <c r="M46" i="7"/>
  <c r="M44" i="7"/>
  <c r="M43" i="7"/>
  <c r="Q5" i="30"/>
  <c r="Q6" i="30"/>
  <c r="Q7" i="30"/>
  <c r="Q8" i="30"/>
  <c r="Q9" i="30"/>
  <c r="Q10" i="30"/>
  <c r="Q11" i="30"/>
  <c r="Q12" i="30"/>
  <c r="F38" i="7" s="1"/>
  <c r="Q13" i="30"/>
  <c r="F39" i="7" s="1"/>
  <c r="Q4" i="30"/>
  <c r="Q17" i="30"/>
  <c r="H31" i="7"/>
  <c r="H32" i="7"/>
  <c r="H33" i="7"/>
  <c r="H34" i="7"/>
  <c r="H35" i="7"/>
  <c r="H36" i="7"/>
  <c r="H37" i="7"/>
  <c r="H38" i="7"/>
  <c r="H39" i="7"/>
  <c r="R5" i="30"/>
  <c r="R6" i="30"/>
  <c r="R7" i="30"/>
  <c r="R8" i="30"/>
  <c r="R9" i="30"/>
  <c r="R10" i="30"/>
  <c r="R11" i="30"/>
  <c r="R12" i="30"/>
  <c r="R13" i="30"/>
  <c r="R4" i="30"/>
  <c r="H30" i="7"/>
  <c r="F31" i="7"/>
  <c r="F32" i="7"/>
  <c r="F33" i="7"/>
  <c r="F34" i="7"/>
  <c r="F35" i="7"/>
  <c r="F36" i="7"/>
  <c r="F37" i="7"/>
  <c r="F30" i="7"/>
  <c r="E31" i="7"/>
  <c r="E32" i="7"/>
  <c r="E33" i="7"/>
  <c r="E34" i="7"/>
  <c r="E35" i="7"/>
  <c r="E36" i="7"/>
  <c r="E37" i="7"/>
  <c r="E38" i="7"/>
  <c r="E39" i="7"/>
  <c r="E30" i="7"/>
  <c r="B31" i="7"/>
  <c r="B32" i="7"/>
  <c r="B33" i="7"/>
  <c r="B34" i="7"/>
  <c r="B35" i="7"/>
  <c r="B36" i="7"/>
  <c r="B37" i="7"/>
  <c r="B38" i="7"/>
  <c r="B39" i="7"/>
  <c r="B30" i="7"/>
  <c r="S3" i="30"/>
  <c r="H3" i="30"/>
  <c r="I3" i="30" s="1"/>
  <c r="J3" i="30" s="1"/>
  <c r="H4" i="30"/>
  <c r="I4" i="30" s="1"/>
  <c r="J4" i="30" s="1"/>
  <c r="H5" i="30"/>
  <c r="I5" i="30" s="1"/>
  <c r="J5" i="30" s="1"/>
  <c r="H6" i="30"/>
  <c r="I6" i="30" s="1"/>
  <c r="J6" i="30" s="1"/>
  <c r="H7" i="30"/>
  <c r="I7" i="30" s="1"/>
  <c r="J7" i="30" s="1"/>
  <c r="H8" i="30"/>
  <c r="I8" i="30" s="1"/>
  <c r="J8" i="30" s="1"/>
  <c r="H9" i="30"/>
  <c r="I9" i="30" s="1"/>
  <c r="J9" i="30" s="1"/>
  <c r="H10" i="30"/>
  <c r="I10" i="30" s="1"/>
  <c r="J10" i="30" s="1"/>
  <c r="H11" i="30"/>
  <c r="I11" i="30" s="1"/>
  <c r="J11" i="30" s="1"/>
  <c r="H12" i="30"/>
  <c r="I12" i="30" s="1"/>
  <c r="J12" i="30" s="1"/>
  <c r="H13" i="30"/>
  <c r="I13" i="30" s="1"/>
  <c r="J13" i="30" s="1"/>
  <c r="H14" i="30"/>
  <c r="I14" i="30" s="1"/>
  <c r="J14" i="30" s="1"/>
  <c r="H15" i="30"/>
  <c r="I15" i="30" s="1"/>
  <c r="J15" i="30" s="1"/>
  <c r="H16" i="30"/>
  <c r="I16" i="30" s="1"/>
  <c r="J16" i="30" s="1"/>
  <c r="H17" i="30"/>
  <c r="I17" i="30" s="1"/>
  <c r="J17" i="30" s="1"/>
  <c r="H18" i="30"/>
  <c r="I18" i="30" s="1"/>
  <c r="J18" i="30" s="1"/>
  <c r="H19" i="30"/>
  <c r="I19" i="30" s="1"/>
  <c r="J19" i="30" s="1"/>
  <c r="H20" i="30"/>
  <c r="I20" i="30" s="1"/>
  <c r="J20" i="30" s="1"/>
  <c r="H21" i="30"/>
  <c r="I21" i="30" s="1"/>
  <c r="J21" i="30" s="1"/>
  <c r="H22" i="30"/>
  <c r="I22" i="30" s="1"/>
  <c r="J22" i="30" s="1"/>
  <c r="H23" i="30"/>
  <c r="I23" i="30" s="1"/>
  <c r="J23" i="30" s="1"/>
  <c r="H24" i="30"/>
  <c r="I24" i="30" s="1"/>
  <c r="J24" i="30" s="1"/>
  <c r="H25" i="30"/>
  <c r="I25" i="30" s="1"/>
  <c r="J25" i="30" s="1"/>
  <c r="H26" i="30"/>
  <c r="I26" i="30" s="1"/>
  <c r="J26" i="30" s="1"/>
  <c r="H27" i="30"/>
  <c r="I27" i="30" s="1"/>
  <c r="J27" i="30" s="1"/>
  <c r="H28" i="30"/>
  <c r="I28" i="30" s="1"/>
  <c r="J28" i="30" s="1"/>
  <c r="H29" i="30"/>
  <c r="I29" i="30" s="1"/>
  <c r="J29" i="30" s="1"/>
  <c r="H30" i="30"/>
  <c r="I30" i="30" s="1"/>
  <c r="J30" i="30" s="1"/>
  <c r="H31" i="30"/>
  <c r="I31" i="30" s="1"/>
  <c r="J31" i="30" s="1"/>
  <c r="H32" i="30"/>
  <c r="I32" i="30" s="1"/>
  <c r="J32" i="30" s="1"/>
  <c r="H33" i="30"/>
  <c r="I33" i="30" s="1"/>
  <c r="J33" i="30" s="1"/>
  <c r="H34" i="30"/>
  <c r="I34" i="30" s="1"/>
  <c r="J34" i="30" s="1"/>
  <c r="H35" i="30"/>
  <c r="I35" i="30" s="1"/>
  <c r="J35" i="30" s="1"/>
  <c r="H36" i="30"/>
  <c r="I36" i="30" s="1"/>
  <c r="J36" i="30" s="1"/>
  <c r="H37" i="30"/>
  <c r="I37" i="30" s="1"/>
  <c r="J37" i="30" s="1"/>
  <c r="H38" i="30"/>
  <c r="I38" i="30" s="1"/>
  <c r="J38" i="30" s="1"/>
  <c r="H39" i="30"/>
  <c r="I39" i="30" s="1"/>
  <c r="J39" i="30" s="1"/>
  <c r="H40" i="30"/>
  <c r="I40" i="30" s="1"/>
  <c r="J40" i="30" s="1"/>
  <c r="H41" i="30"/>
  <c r="I41" i="30" s="1"/>
  <c r="J41" i="30" s="1"/>
  <c r="H42" i="30"/>
  <c r="I42" i="30" s="1"/>
  <c r="J42" i="30" s="1"/>
  <c r="H43" i="30"/>
  <c r="I43" i="30" s="1"/>
  <c r="J43" i="30" s="1"/>
  <c r="H44" i="30"/>
  <c r="I44" i="30" s="1"/>
  <c r="J44" i="30" s="1"/>
  <c r="H45" i="30"/>
  <c r="I45" i="30" s="1"/>
  <c r="J45" i="30" s="1"/>
  <c r="H46" i="30"/>
  <c r="I46" i="30" s="1"/>
  <c r="J46" i="30" s="1"/>
  <c r="H47" i="30"/>
  <c r="I47" i="30" s="1"/>
  <c r="J47" i="30" s="1"/>
  <c r="H48" i="30"/>
  <c r="I48" i="30" s="1"/>
  <c r="J48" i="30" s="1"/>
  <c r="H49" i="30"/>
  <c r="I49" i="30" s="1"/>
  <c r="J49" i="30" s="1"/>
  <c r="H50" i="30"/>
  <c r="I50" i="30" s="1"/>
  <c r="J50" i="30" s="1"/>
  <c r="H51" i="30"/>
  <c r="I51" i="30" s="1"/>
  <c r="J51" i="30" s="1"/>
  <c r="H52" i="30"/>
  <c r="I52" i="30" s="1"/>
  <c r="J52" i="30" s="1"/>
  <c r="H53" i="30"/>
  <c r="I53" i="30" s="1"/>
  <c r="J53" i="30" s="1"/>
  <c r="H54" i="30"/>
  <c r="I54" i="30" s="1"/>
  <c r="J54" i="30" s="1"/>
  <c r="H55" i="30"/>
  <c r="I55" i="30" s="1"/>
  <c r="J55" i="30" s="1"/>
  <c r="H56" i="30"/>
  <c r="I56" i="30" s="1"/>
  <c r="J56" i="30" s="1"/>
  <c r="H57" i="30"/>
  <c r="I57" i="30" s="1"/>
  <c r="J57" i="30" s="1"/>
  <c r="H58" i="30"/>
  <c r="I58" i="30" s="1"/>
  <c r="J58" i="30" s="1"/>
  <c r="H59" i="30"/>
  <c r="I59" i="30" s="1"/>
  <c r="J59" i="30" s="1"/>
  <c r="H60" i="30"/>
  <c r="I60" i="30" s="1"/>
  <c r="J60" i="30" s="1"/>
  <c r="H61" i="30"/>
  <c r="I61" i="30" s="1"/>
  <c r="J61" i="30" s="1"/>
  <c r="H62" i="30"/>
  <c r="I62" i="30" s="1"/>
  <c r="J62" i="30" s="1"/>
  <c r="H63" i="30"/>
  <c r="I63" i="30" s="1"/>
  <c r="J63" i="30" s="1"/>
  <c r="H64" i="30"/>
  <c r="I64" i="30" s="1"/>
  <c r="J64" i="30" s="1"/>
  <c r="H65" i="30"/>
  <c r="I65" i="30" s="1"/>
  <c r="J65" i="30" s="1"/>
  <c r="H66" i="30"/>
  <c r="I66" i="30" s="1"/>
  <c r="J66" i="30" s="1"/>
  <c r="H67" i="30"/>
  <c r="I67" i="30" s="1"/>
  <c r="J67" i="30" s="1"/>
  <c r="H68" i="30"/>
  <c r="I68" i="30" s="1"/>
  <c r="J68" i="30" s="1"/>
  <c r="H69" i="30"/>
  <c r="I69" i="30" s="1"/>
  <c r="J69" i="30" s="1"/>
  <c r="H70" i="30"/>
  <c r="I70" i="30" s="1"/>
  <c r="J70" i="30" s="1"/>
  <c r="H71" i="30"/>
  <c r="I71" i="30" s="1"/>
  <c r="J71" i="30" s="1"/>
  <c r="H72" i="30"/>
  <c r="I72" i="30" s="1"/>
  <c r="J72" i="30" s="1"/>
  <c r="H73" i="30"/>
  <c r="I73" i="30" s="1"/>
  <c r="J73" i="30" s="1"/>
  <c r="H74" i="30"/>
  <c r="I74" i="30" s="1"/>
  <c r="J74" i="30" s="1"/>
  <c r="H75" i="30"/>
  <c r="I75" i="30" s="1"/>
  <c r="J75" i="30" s="1"/>
  <c r="H76" i="30"/>
  <c r="I76" i="30" s="1"/>
  <c r="J76" i="30" s="1"/>
  <c r="H77" i="30"/>
  <c r="I77" i="30" s="1"/>
  <c r="J77" i="30" s="1"/>
  <c r="H78" i="30"/>
  <c r="I78" i="30" s="1"/>
  <c r="J78" i="30" s="1"/>
  <c r="H79" i="30"/>
  <c r="I79" i="30" s="1"/>
  <c r="J79" i="30" s="1"/>
  <c r="H80" i="30"/>
  <c r="I80" i="30" s="1"/>
  <c r="J80" i="30" s="1"/>
  <c r="H81" i="30"/>
  <c r="I81" i="30" s="1"/>
  <c r="J81" i="30" s="1"/>
  <c r="H82" i="30"/>
  <c r="I82" i="30" s="1"/>
  <c r="J82" i="30" s="1"/>
  <c r="H83" i="30"/>
  <c r="I83" i="30" s="1"/>
  <c r="J83" i="30" s="1"/>
  <c r="H84" i="30"/>
  <c r="I84" i="30" s="1"/>
  <c r="J84" i="30" s="1"/>
  <c r="H85" i="30"/>
  <c r="I85" i="30" s="1"/>
  <c r="J85" i="30" s="1"/>
  <c r="H86" i="30"/>
  <c r="I86" i="30" s="1"/>
  <c r="J86" i="30" s="1"/>
  <c r="H87" i="30"/>
  <c r="I87" i="30" s="1"/>
  <c r="J87" i="30" s="1"/>
  <c r="H88" i="30"/>
  <c r="I88" i="30" s="1"/>
  <c r="J88" i="30" s="1"/>
  <c r="H89" i="30"/>
  <c r="I89" i="30" s="1"/>
  <c r="J89" i="30" s="1"/>
  <c r="H90" i="30"/>
  <c r="I90" i="30" s="1"/>
  <c r="J90" i="30" s="1"/>
  <c r="H91" i="30"/>
  <c r="I91" i="30" s="1"/>
  <c r="J91" i="30" s="1"/>
  <c r="H92" i="30"/>
  <c r="I92" i="30" s="1"/>
  <c r="J92" i="30" s="1"/>
  <c r="H93" i="30"/>
  <c r="I93" i="30" s="1"/>
  <c r="J93" i="30" s="1"/>
  <c r="H94" i="30"/>
  <c r="I94" i="30" s="1"/>
  <c r="J94" i="30" s="1"/>
  <c r="H95" i="30"/>
  <c r="I95" i="30" s="1"/>
  <c r="J95" i="30" s="1"/>
  <c r="H96" i="30"/>
  <c r="I96" i="30" s="1"/>
  <c r="J96" i="30" s="1"/>
  <c r="H97" i="30"/>
  <c r="I97" i="30" s="1"/>
  <c r="J97" i="30" s="1"/>
  <c r="H98" i="30"/>
  <c r="I98" i="30" s="1"/>
  <c r="J98" i="30" s="1"/>
  <c r="H99" i="30"/>
  <c r="I99" i="30" s="1"/>
  <c r="J99" i="30" s="1"/>
  <c r="H100" i="30"/>
  <c r="I100" i="30" s="1"/>
  <c r="J100" i="30" s="1"/>
  <c r="H101" i="30"/>
  <c r="I101" i="30" s="1"/>
  <c r="J101" i="30" s="1"/>
  <c r="H102" i="30"/>
  <c r="I102" i="30" s="1"/>
  <c r="J102" i="30" s="1"/>
  <c r="H103" i="30"/>
  <c r="I103" i="30" s="1"/>
  <c r="J103" i="30" s="1"/>
  <c r="H104" i="30"/>
  <c r="I104" i="30" s="1"/>
  <c r="J104" i="30" s="1"/>
  <c r="H105" i="30"/>
  <c r="I105" i="30" s="1"/>
  <c r="J105" i="30" s="1"/>
  <c r="H106" i="30"/>
  <c r="I106" i="30" s="1"/>
  <c r="J106" i="30" s="1"/>
  <c r="H107" i="30"/>
  <c r="I107" i="30" s="1"/>
  <c r="J107" i="30" s="1"/>
  <c r="H108" i="30"/>
  <c r="I108" i="30" s="1"/>
  <c r="J108" i="30" s="1"/>
  <c r="H109" i="30"/>
  <c r="I109" i="30" s="1"/>
  <c r="J109" i="30" s="1"/>
  <c r="H110" i="30"/>
  <c r="I110" i="30" s="1"/>
  <c r="J110" i="30" s="1"/>
  <c r="H111" i="30"/>
  <c r="I111" i="30" s="1"/>
  <c r="J111" i="30" s="1"/>
  <c r="H112" i="30"/>
  <c r="I112" i="30" s="1"/>
  <c r="J112" i="30" s="1"/>
  <c r="H113" i="30"/>
  <c r="I113" i="30" s="1"/>
  <c r="J113" i="30" s="1"/>
  <c r="H114" i="30"/>
  <c r="I114" i="30" s="1"/>
  <c r="J114" i="30" s="1"/>
  <c r="H115" i="30"/>
  <c r="I115" i="30" s="1"/>
  <c r="J115" i="30" s="1"/>
  <c r="H116" i="30"/>
  <c r="I116" i="30" s="1"/>
  <c r="J116" i="30" s="1"/>
  <c r="H117" i="30"/>
  <c r="I117" i="30" s="1"/>
  <c r="J117" i="30" s="1"/>
  <c r="H118" i="30"/>
  <c r="I118" i="30" s="1"/>
  <c r="J118" i="30" s="1"/>
  <c r="H119" i="30"/>
  <c r="I119" i="30" s="1"/>
  <c r="J119" i="30" s="1"/>
  <c r="H120" i="30"/>
  <c r="I120" i="30" s="1"/>
  <c r="J120" i="30" s="1"/>
  <c r="H121" i="30"/>
  <c r="I121" i="30" s="1"/>
  <c r="J121" i="30" s="1"/>
  <c r="H122" i="30"/>
  <c r="I122" i="30" s="1"/>
  <c r="J122" i="30" s="1"/>
  <c r="H123" i="30"/>
  <c r="I123" i="30" s="1"/>
  <c r="J123" i="30" s="1"/>
  <c r="H124" i="30"/>
  <c r="I124" i="30" s="1"/>
  <c r="J124" i="30" s="1"/>
  <c r="H125" i="30"/>
  <c r="I125" i="30" s="1"/>
  <c r="J125" i="30" s="1"/>
  <c r="H126" i="30"/>
  <c r="I126" i="30" s="1"/>
  <c r="J126" i="30" s="1"/>
  <c r="H127" i="30"/>
  <c r="I127" i="30" s="1"/>
  <c r="J127" i="30" s="1"/>
  <c r="H128" i="30"/>
  <c r="I128" i="30" s="1"/>
  <c r="J128" i="30" s="1"/>
  <c r="H129" i="30"/>
  <c r="I129" i="30" s="1"/>
  <c r="J129" i="30" s="1"/>
  <c r="H130" i="30"/>
  <c r="I130" i="30" s="1"/>
  <c r="J130" i="30" s="1"/>
  <c r="H131" i="30"/>
  <c r="I131" i="30" s="1"/>
  <c r="J131" i="30" s="1"/>
  <c r="H132" i="30"/>
  <c r="I132" i="30" s="1"/>
  <c r="J132" i="30" s="1"/>
  <c r="H133" i="30"/>
  <c r="I133" i="30" s="1"/>
  <c r="J133" i="30" s="1"/>
  <c r="H134" i="30"/>
  <c r="I134" i="30" s="1"/>
  <c r="J134" i="30" s="1"/>
  <c r="H135" i="30"/>
  <c r="I135" i="30" s="1"/>
  <c r="J135" i="30" s="1"/>
  <c r="H136" i="30"/>
  <c r="I136" i="30" s="1"/>
  <c r="J136" i="30" s="1"/>
  <c r="H137" i="30"/>
  <c r="I137" i="30" s="1"/>
  <c r="J137" i="30" s="1"/>
  <c r="H138" i="30"/>
  <c r="I138" i="30" s="1"/>
  <c r="J138" i="30" s="1"/>
  <c r="H139" i="30"/>
  <c r="I139" i="30" s="1"/>
  <c r="J139" i="30" s="1"/>
  <c r="H140" i="30"/>
  <c r="I140" i="30" s="1"/>
  <c r="J140" i="30" s="1"/>
  <c r="H141" i="30"/>
  <c r="I141" i="30" s="1"/>
  <c r="J141" i="30" s="1"/>
  <c r="H142" i="30"/>
  <c r="I142" i="30" s="1"/>
  <c r="J142" i="30" s="1"/>
  <c r="H143" i="30"/>
  <c r="I143" i="30" s="1"/>
  <c r="J143" i="30" s="1"/>
  <c r="H144" i="30"/>
  <c r="I144" i="30" s="1"/>
  <c r="J144" i="30" s="1"/>
  <c r="H145" i="30"/>
  <c r="I145" i="30" s="1"/>
  <c r="J145" i="30" s="1"/>
  <c r="H146" i="30"/>
  <c r="I146" i="30" s="1"/>
  <c r="J146" i="30" s="1"/>
  <c r="H147" i="30"/>
  <c r="I147" i="30" s="1"/>
  <c r="J147" i="30" s="1"/>
  <c r="H148" i="30"/>
  <c r="I148" i="30" s="1"/>
  <c r="J148" i="30" s="1"/>
  <c r="H149" i="30"/>
  <c r="I149" i="30" s="1"/>
  <c r="J149" i="30" s="1"/>
  <c r="H150" i="30"/>
  <c r="I150" i="30" s="1"/>
  <c r="J150" i="30" s="1"/>
  <c r="H151" i="30"/>
  <c r="I151" i="30" s="1"/>
  <c r="J151" i="30" s="1"/>
  <c r="H152" i="30"/>
  <c r="I152" i="30" s="1"/>
  <c r="J152" i="30" s="1"/>
  <c r="H153" i="30"/>
  <c r="I153" i="30" s="1"/>
  <c r="J153" i="30" s="1"/>
  <c r="H154" i="30"/>
  <c r="I154" i="30" s="1"/>
  <c r="J154" i="30" s="1"/>
  <c r="H155" i="30"/>
  <c r="I155" i="30" s="1"/>
  <c r="J155" i="30" s="1"/>
  <c r="H156" i="30"/>
  <c r="I156" i="30" s="1"/>
  <c r="J156" i="30" s="1"/>
  <c r="H157" i="30"/>
  <c r="I157" i="30" s="1"/>
  <c r="J157" i="30" s="1"/>
  <c r="H158" i="30"/>
  <c r="I158" i="30" s="1"/>
  <c r="J158" i="30" s="1"/>
  <c r="H159" i="30"/>
  <c r="I159" i="30" s="1"/>
  <c r="J159" i="30" s="1"/>
  <c r="H160" i="30"/>
  <c r="I160" i="30" s="1"/>
  <c r="J160" i="30" s="1"/>
  <c r="H161" i="30"/>
  <c r="I161" i="30" s="1"/>
  <c r="J161" i="30" s="1"/>
  <c r="H162" i="30"/>
  <c r="I162" i="30" s="1"/>
  <c r="J162" i="30" s="1"/>
  <c r="H163" i="30"/>
  <c r="I163" i="30" s="1"/>
  <c r="J163" i="30" s="1"/>
  <c r="H164" i="30"/>
  <c r="I164" i="30" s="1"/>
  <c r="J164" i="30" s="1"/>
  <c r="H165" i="30"/>
  <c r="I165" i="30" s="1"/>
  <c r="J165" i="30" s="1"/>
  <c r="H166" i="30"/>
  <c r="I166" i="30" s="1"/>
  <c r="J166" i="30" s="1"/>
  <c r="H167" i="30"/>
  <c r="I167" i="30" s="1"/>
  <c r="J167" i="30" s="1"/>
  <c r="H168" i="30"/>
  <c r="I168" i="30" s="1"/>
  <c r="J168" i="30" s="1"/>
  <c r="H169" i="30"/>
  <c r="I169" i="30" s="1"/>
  <c r="J169" i="30" s="1"/>
  <c r="H170" i="30"/>
  <c r="I170" i="30" s="1"/>
  <c r="J170" i="30" s="1"/>
  <c r="H171" i="30"/>
  <c r="I171" i="30" s="1"/>
  <c r="J171" i="30" s="1"/>
  <c r="H172" i="30"/>
  <c r="I172" i="30" s="1"/>
  <c r="J172" i="30" s="1"/>
  <c r="H173" i="30"/>
  <c r="I173" i="30" s="1"/>
  <c r="J173" i="30" s="1"/>
  <c r="H174" i="30"/>
  <c r="I174" i="30" s="1"/>
  <c r="J174" i="30" s="1"/>
  <c r="H175" i="30"/>
  <c r="I175" i="30" s="1"/>
  <c r="J175" i="30" s="1"/>
  <c r="H176" i="30"/>
  <c r="I176" i="30" s="1"/>
  <c r="J176" i="30" s="1"/>
  <c r="H177" i="30"/>
  <c r="I177" i="30" s="1"/>
  <c r="J177" i="30" s="1"/>
  <c r="H178" i="30"/>
  <c r="I178" i="30" s="1"/>
  <c r="J178" i="30" s="1"/>
  <c r="H179" i="30"/>
  <c r="I179" i="30" s="1"/>
  <c r="J179" i="30" s="1"/>
  <c r="H180" i="30"/>
  <c r="I180" i="30" s="1"/>
  <c r="J180" i="30" s="1"/>
  <c r="H181" i="30"/>
  <c r="I181" i="30" s="1"/>
  <c r="J181" i="30" s="1"/>
  <c r="H182" i="30"/>
  <c r="I182" i="30" s="1"/>
  <c r="J182" i="30" s="1"/>
  <c r="H183" i="30"/>
  <c r="I183" i="30" s="1"/>
  <c r="J183" i="30" s="1"/>
  <c r="H184" i="30"/>
  <c r="I184" i="30" s="1"/>
  <c r="J184" i="30" s="1"/>
  <c r="H185" i="30"/>
  <c r="I185" i="30" s="1"/>
  <c r="J185" i="30" s="1"/>
  <c r="H186" i="30"/>
  <c r="I186" i="30" s="1"/>
  <c r="J186" i="30" s="1"/>
  <c r="H187" i="30"/>
  <c r="I187" i="30" s="1"/>
  <c r="J187" i="30" s="1"/>
  <c r="H188" i="30"/>
  <c r="I188" i="30" s="1"/>
  <c r="J188" i="30" s="1"/>
  <c r="H189" i="30"/>
  <c r="I189" i="30" s="1"/>
  <c r="J189" i="30" s="1"/>
  <c r="H190" i="30"/>
  <c r="I190" i="30" s="1"/>
  <c r="J190" i="30" s="1"/>
  <c r="H191" i="30"/>
  <c r="I191" i="30" s="1"/>
  <c r="J191" i="30" s="1"/>
  <c r="H192" i="30"/>
  <c r="I192" i="30" s="1"/>
  <c r="J192" i="30" s="1"/>
  <c r="H193" i="30"/>
  <c r="I193" i="30" s="1"/>
  <c r="J193" i="30" s="1"/>
  <c r="H194" i="30"/>
  <c r="I194" i="30" s="1"/>
  <c r="J194" i="30" s="1"/>
  <c r="H195" i="30"/>
  <c r="I195" i="30" s="1"/>
  <c r="J195" i="30" s="1"/>
  <c r="H196" i="30"/>
  <c r="I196" i="30" s="1"/>
  <c r="J196" i="30" s="1"/>
  <c r="H197" i="30"/>
  <c r="I197" i="30" s="1"/>
  <c r="J197" i="30" s="1"/>
  <c r="H198" i="30"/>
  <c r="I198" i="30" s="1"/>
  <c r="J198" i="30" s="1"/>
  <c r="H199" i="30"/>
  <c r="I199" i="30" s="1"/>
  <c r="J199" i="30" s="1"/>
  <c r="H200" i="30"/>
  <c r="I200" i="30" s="1"/>
  <c r="J200" i="30" s="1"/>
  <c r="H201" i="30"/>
  <c r="I201" i="30" s="1"/>
  <c r="J201" i="30" s="1"/>
  <c r="H202" i="30"/>
  <c r="I202" i="30" s="1"/>
  <c r="J202" i="30" s="1"/>
  <c r="H203" i="30"/>
  <c r="I203" i="30" s="1"/>
  <c r="J203" i="30" s="1"/>
  <c r="H204" i="30"/>
  <c r="I204" i="30" s="1"/>
  <c r="J204" i="30" s="1"/>
  <c r="H205" i="30"/>
  <c r="I205" i="30" s="1"/>
  <c r="J205" i="30" s="1"/>
  <c r="H206" i="30"/>
  <c r="I206" i="30" s="1"/>
  <c r="J206" i="30" s="1"/>
  <c r="H207" i="30"/>
  <c r="I207" i="30" s="1"/>
  <c r="J207" i="30" s="1"/>
  <c r="H208" i="30"/>
  <c r="I208" i="30" s="1"/>
  <c r="J208" i="30" s="1"/>
  <c r="H209" i="30"/>
  <c r="I209" i="30" s="1"/>
  <c r="J209" i="30" s="1"/>
  <c r="H210" i="30"/>
  <c r="I210" i="30" s="1"/>
  <c r="J210" i="30" s="1"/>
  <c r="H211" i="30"/>
  <c r="I211" i="30" s="1"/>
  <c r="J211" i="30" s="1"/>
  <c r="H212" i="30"/>
  <c r="I212" i="30" s="1"/>
  <c r="J212" i="30" s="1"/>
  <c r="H213" i="30"/>
  <c r="I213" i="30" s="1"/>
  <c r="J213" i="30" s="1"/>
  <c r="H214" i="30"/>
  <c r="I214" i="30" s="1"/>
  <c r="J214" i="30" s="1"/>
  <c r="H215" i="30"/>
  <c r="I215" i="30" s="1"/>
  <c r="J215" i="30" s="1"/>
  <c r="H216" i="30"/>
  <c r="I216" i="30" s="1"/>
  <c r="J216" i="30" s="1"/>
  <c r="H217" i="30"/>
  <c r="I217" i="30" s="1"/>
  <c r="J217" i="30" s="1"/>
  <c r="H218" i="30"/>
  <c r="I218" i="30" s="1"/>
  <c r="J218" i="30" s="1"/>
  <c r="H219" i="30"/>
  <c r="I219" i="30" s="1"/>
  <c r="J219" i="30" s="1"/>
  <c r="H220" i="30"/>
  <c r="I220" i="30" s="1"/>
  <c r="J220" i="30" s="1"/>
  <c r="H221" i="30"/>
  <c r="I221" i="30" s="1"/>
  <c r="J221" i="30" s="1"/>
  <c r="H222" i="30"/>
  <c r="I222" i="30" s="1"/>
  <c r="J222" i="30" s="1"/>
  <c r="H223" i="30"/>
  <c r="I223" i="30" s="1"/>
  <c r="J223" i="30" s="1"/>
  <c r="H224" i="30"/>
  <c r="I224" i="30" s="1"/>
  <c r="J224" i="30" s="1"/>
  <c r="H225" i="30"/>
  <c r="I225" i="30" s="1"/>
  <c r="J225" i="30" s="1"/>
  <c r="H226" i="30"/>
  <c r="I226" i="30" s="1"/>
  <c r="J226" i="30" s="1"/>
  <c r="H227" i="30"/>
  <c r="I227" i="30" s="1"/>
  <c r="J227" i="30" s="1"/>
  <c r="H228" i="30"/>
  <c r="I228" i="30" s="1"/>
  <c r="J228" i="30" s="1"/>
  <c r="H229" i="30"/>
  <c r="I229" i="30" s="1"/>
  <c r="J229" i="30" s="1"/>
  <c r="H230" i="30"/>
  <c r="I230" i="30" s="1"/>
  <c r="J230" i="30" s="1"/>
  <c r="H231" i="30"/>
  <c r="I231" i="30" s="1"/>
  <c r="J231" i="30" s="1"/>
  <c r="H232" i="30"/>
  <c r="I232" i="30" s="1"/>
  <c r="J232" i="30" s="1"/>
  <c r="H233" i="30"/>
  <c r="I233" i="30" s="1"/>
  <c r="J233" i="30" s="1"/>
  <c r="H234" i="30"/>
  <c r="I234" i="30" s="1"/>
  <c r="J234" i="30" s="1"/>
  <c r="H235" i="30"/>
  <c r="I235" i="30" s="1"/>
  <c r="J235" i="30" s="1"/>
  <c r="H236" i="30"/>
  <c r="I236" i="30" s="1"/>
  <c r="J236" i="30" s="1"/>
  <c r="H237" i="30"/>
  <c r="I237" i="30" s="1"/>
  <c r="J237" i="30" s="1"/>
  <c r="H238" i="30"/>
  <c r="I238" i="30" s="1"/>
  <c r="J238" i="30" s="1"/>
  <c r="H239" i="30"/>
  <c r="I239" i="30" s="1"/>
  <c r="J239" i="30" s="1"/>
  <c r="H240" i="30"/>
  <c r="I240" i="30" s="1"/>
  <c r="J240" i="30" s="1"/>
  <c r="H241" i="30"/>
  <c r="I241" i="30" s="1"/>
  <c r="J241" i="30" s="1"/>
  <c r="H242" i="30"/>
  <c r="I242" i="30" s="1"/>
  <c r="J242" i="30" s="1"/>
  <c r="H243" i="30"/>
  <c r="I243" i="30" s="1"/>
  <c r="J243" i="30" s="1"/>
  <c r="H244" i="30"/>
  <c r="I244" i="30" s="1"/>
  <c r="J244" i="30" s="1"/>
  <c r="H245" i="30"/>
  <c r="I245" i="30" s="1"/>
  <c r="J245" i="30" s="1"/>
  <c r="H246" i="30"/>
  <c r="I246" i="30" s="1"/>
  <c r="J246" i="30" s="1"/>
  <c r="H247" i="30"/>
  <c r="I247" i="30" s="1"/>
  <c r="J247" i="30" s="1"/>
  <c r="H248" i="30"/>
  <c r="I248" i="30" s="1"/>
  <c r="J248" i="30" s="1"/>
  <c r="H249" i="30"/>
  <c r="I249" i="30" s="1"/>
  <c r="J249" i="30" s="1"/>
  <c r="H250" i="30"/>
  <c r="I250" i="30" s="1"/>
  <c r="J250" i="30" s="1"/>
  <c r="H251" i="30"/>
  <c r="I251" i="30" s="1"/>
  <c r="J251" i="30" s="1"/>
  <c r="H252" i="30"/>
  <c r="I252" i="30" s="1"/>
  <c r="J252" i="30" s="1"/>
  <c r="H253" i="30"/>
  <c r="I253" i="30" s="1"/>
  <c r="J253" i="30" s="1"/>
  <c r="H254" i="30"/>
  <c r="I254" i="30" s="1"/>
  <c r="J254" i="30" s="1"/>
  <c r="H255" i="30"/>
  <c r="I255" i="30" s="1"/>
  <c r="J255" i="30" s="1"/>
  <c r="H256" i="30"/>
  <c r="I256" i="30" s="1"/>
  <c r="J256" i="30" s="1"/>
  <c r="H257" i="30"/>
  <c r="I257" i="30" s="1"/>
  <c r="J257" i="30" s="1"/>
  <c r="H258" i="30"/>
  <c r="I258" i="30" s="1"/>
  <c r="J258" i="30" s="1"/>
  <c r="H259" i="30"/>
  <c r="I259" i="30" s="1"/>
  <c r="J259" i="30" s="1"/>
  <c r="H260" i="30"/>
  <c r="I260" i="30" s="1"/>
  <c r="J260" i="30" s="1"/>
  <c r="H261" i="30"/>
  <c r="I261" i="30" s="1"/>
  <c r="J261" i="30" s="1"/>
  <c r="H262" i="30"/>
  <c r="I262" i="30" s="1"/>
  <c r="J262" i="30" s="1"/>
  <c r="H263" i="30"/>
  <c r="I263" i="30" s="1"/>
  <c r="J263" i="30" s="1"/>
  <c r="E24" i="7"/>
  <c r="F24" i="7"/>
  <c r="G24" i="7"/>
  <c r="H24" i="7"/>
  <c r="D24" i="7"/>
  <c r="E23" i="7"/>
  <c r="F23" i="7"/>
  <c r="G23" i="7"/>
  <c r="H23" i="7"/>
  <c r="D23" i="7"/>
  <c r="C108" i="6"/>
  <c r="D108" i="6"/>
  <c r="E108" i="6"/>
  <c r="F108" i="6"/>
  <c r="G108" i="6"/>
  <c r="H108" i="6"/>
  <c r="I108" i="6"/>
  <c r="J108" i="6"/>
  <c r="K108" i="6"/>
  <c r="B108" i="6"/>
  <c r="C107" i="6"/>
  <c r="D107" i="6"/>
  <c r="E107" i="6"/>
  <c r="F107" i="6"/>
  <c r="G107" i="6"/>
  <c r="H107" i="6"/>
  <c r="I107" i="6"/>
  <c r="J107" i="6"/>
  <c r="K107" i="6"/>
  <c r="B107" i="6"/>
  <c r="C106" i="6"/>
  <c r="D106" i="6"/>
  <c r="E106" i="6"/>
  <c r="F106" i="6"/>
  <c r="G106" i="6"/>
  <c r="H106" i="6"/>
  <c r="I106" i="6"/>
  <c r="J106" i="6"/>
  <c r="K106" i="6"/>
  <c r="B106" i="6"/>
  <c r="C103" i="6"/>
  <c r="D103" i="6"/>
  <c r="E103" i="6"/>
  <c r="F103" i="6"/>
  <c r="G103" i="6"/>
  <c r="H103" i="6"/>
  <c r="I103" i="6"/>
  <c r="J103" i="6"/>
  <c r="K103" i="6"/>
  <c r="B103" i="6"/>
  <c r="C102" i="6"/>
  <c r="D102" i="6"/>
  <c r="E102" i="6"/>
  <c r="F102" i="6"/>
  <c r="G102" i="6"/>
  <c r="H102" i="6"/>
  <c r="I102" i="6"/>
  <c r="J102" i="6"/>
  <c r="K102" i="6"/>
  <c r="B102" i="6"/>
  <c r="C101" i="6"/>
  <c r="D101" i="6"/>
  <c r="E101" i="6"/>
  <c r="F101" i="6"/>
  <c r="G101" i="6"/>
  <c r="H101" i="6"/>
  <c r="I101" i="6"/>
  <c r="J101" i="6"/>
  <c r="K101" i="6"/>
  <c r="B101" i="6"/>
  <c r="C100" i="6"/>
  <c r="D100" i="6"/>
  <c r="E100" i="6"/>
  <c r="F100" i="6"/>
  <c r="G100" i="6"/>
  <c r="H100" i="6"/>
  <c r="I100" i="6"/>
  <c r="J100" i="6"/>
  <c r="K100" i="6"/>
  <c r="B100" i="6"/>
  <c r="H19" i="7"/>
  <c r="G19" i="7"/>
  <c r="F19" i="7"/>
  <c r="E19" i="7"/>
  <c r="D19" i="7"/>
  <c r="E6" i="7"/>
  <c r="F6" i="7"/>
  <c r="G6" i="7"/>
  <c r="H6" i="7"/>
  <c r="D6" i="7"/>
  <c r="I90" i="29"/>
  <c r="D90" i="29"/>
  <c r="E90" i="29"/>
  <c r="F90" i="29"/>
  <c r="G90" i="29"/>
  <c r="H90" i="29"/>
  <c r="C90" i="29"/>
  <c r="D84" i="29"/>
  <c r="E84" i="29"/>
  <c r="F84" i="29"/>
  <c r="G84" i="29"/>
  <c r="H84" i="29"/>
  <c r="I84" i="29"/>
  <c r="C84" i="29"/>
  <c r="D85" i="29"/>
  <c r="E85" i="29"/>
  <c r="F85" i="29"/>
  <c r="G85" i="29"/>
  <c r="H85" i="29"/>
  <c r="I85" i="29"/>
  <c r="C85" i="29"/>
  <c r="M45" i="7" l="1"/>
  <c r="M49" i="7" s="1"/>
  <c r="B79" i="29"/>
  <c r="B91" i="29" s="1"/>
  <c r="D67" i="29"/>
  <c r="D73" i="29" s="1"/>
  <c r="D79" i="29" s="1"/>
  <c r="D91" i="29" s="1"/>
  <c r="E67" i="29"/>
  <c r="E73" i="29" s="1"/>
  <c r="E79" i="29" s="1"/>
  <c r="E91" i="29" s="1"/>
  <c r="F67" i="29"/>
  <c r="F73" i="29" s="1"/>
  <c r="F79" i="29" s="1"/>
  <c r="F91" i="29" s="1"/>
  <c r="G67" i="29"/>
  <c r="G73" i="29" s="1"/>
  <c r="G79" i="29" s="1"/>
  <c r="G91" i="29" s="1"/>
  <c r="H67" i="29"/>
  <c r="H73" i="29" s="1"/>
  <c r="I67" i="29"/>
  <c r="I73" i="29" s="1"/>
  <c r="I79" i="29" s="1"/>
  <c r="I91" i="29" s="1"/>
  <c r="C67" i="29"/>
  <c r="D66" i="29"/>
  <c r="E66" i="29"/>
  <c r="F66" i="29"/>
  <c r="G66" i="29"/>
  <c r="H66" i="29"/>
  <c r="I66" i="29"/>
  <c r="C66" i="29"/>
  <c r="B11" i="29"/>
  <c r="B8" i="29"/>
  <c r="B1" i="29"/>
  <c r="B5" i="25"/>
  <c r="M30" i="12"/>
  <c r="M31" i="12"/>
  <c r="M32" i="12"/>
  <c r="M33" i="12"/>
  <c r="M34" i="12"/>
  <c r="M36" i="12"/>
  <c r="M37" i="12"/>
  <c r="M38" i="12"/>
  <c r="M39" i="12"/>
  <c r="M41" i="12"/>
  <c r="M42" i="12"/>
  <c r="M43" i="12"/>
  <c r="M9" i="12"/>
  <c r="M28" i="12" s="1"/>
  <c r="M11" i="12"/>
  <c r="M12" i="12"/>
  <c r="M13" i="12"/>
  <c r="M14" i="12"/>
  <c r="M15" i="12"/>
  <c r="M16" i="12"/>
  <c r="M17" i="12"/>
  <c r="M18" i="12"/>
  <c r="M19" i="12"/>
  <c r="M20" i="12"/>
  <c r="M21" i="12"/>
  <c r="M22" i="12"/>
  <c r="M23" i="12"/>
  <c r="M24" i="12"/>
  <c r="M25" i="12"/>
  <c r="M10" i="11"/>
  <c r="M9" i="9"/>
  <c r="M12" i="9"/>
  <c r="M15" i="9"/>
  <c r="M21" i="9"/>
  <c r="M27" i="9"/>
  <c r="M30" i="9"/>
  <c r="M36" i="9"/>
  <c r="M42" i="9"/>
  <c r="M47" i="9" s="1"/>
  <c r="M53" i="9"/>
  <c r="M54" i="9"/>
  <c r="M55" i="9"/>
  <c r="M56" i="9"/>
  <c r="M57" i="9"/>
  <c r="M59" i="9"/>
  <c r="M60" i="9"/>
  <c r="M61" i="9"/>
  <c r="M65" i="9"/>
  <c r="M66" i="9"/>
  <c r="M67" i="9"/>
  <c r="M81" i="9"/>
  <c r="M82" i="9"/>
  <c r="M83" i="9"/>
  <c r="M84" i="9"/>
  <c r="M85" i="9"/>
  <c r="M86" i="9"/>
  <c r="M90" i="9"/>
  <c r="M91" i="9"/>
  <c r="M92" i="9"/>
  <c r="M93" i="9"/>
  <c r="M94" i="9"/>
  <c r="M95" i="9"/>
  <c r="M96" i="9"/>
  <c r="M97" i="9"/>
  <c r="M98" i="9"/>
  <c r="M99" i="9"/>
  <c r="M100" i="9"/>
  <c r="M104" i="9"/>
  <c r="M105" i="9"/>
  <c r="M106" i="9"/>
  <c r="M107" i="9"/>
  <c r="M108" i="9"/>
  <c r="M109" i="9"/>
  <c r="M110" i="9"/>
  <c r="M111" i="9"/>
  <c r="C62" i="25"/>
  <c r="D62" i="25"/>
  <c r="E62" i="25"/>
  <c r="F62" i="25"/>
  <c r="G62" i="25"/>
  <c r="H62" i="25"/>
  <c r="I62" i="25"/>
  <c r="M31" i="9" l="1"/>
  <c r="M25" i="11" s="1"/>
  <c r="M87" i="9"/>
  <c r="M47" i="11" s="1"/>
  <c r="M34" i="11"/>
  <c r="M40" i="11" s="1"/>
  <c r="M112" i="9"/>
  <c r="M28" i="9"/>
  <c r="M22" i="9"/>
  <c r="M24" i="11" s="1"/>
  <c r="M101" i="9"/>
  <c r="M114" i="9" s="1"/>
  <c r="M16" i="9"/>
  <c r="M62" i="9"/>
  <c r="M40" i="12" s="1"/>
  <c r="M18" i="9"/>
  <c r="M19" i="9" s="1"/>
  <c r="M18" i="11" s="1"/>
  <c r="M45" i="11"/>
  <c r="M38" i="11"/>
  <c r="M37" i="11"/>
  <c r="M36" i="11"/>
  <c r="M42" i="11" s="1"/>
  <c r="M68" i="9"/>
  <c r="M35" i="11"/>
  <c r="M41" i="11" s="1"/>
  <c r="I68" i="29"/>
  <c r="H79" i="29"/>
  <c r="H91" i="29" s="1"/>
  <c r="H68" i="29"/>
  <c r="H86" i="29"/>
  <c r="D86" i="29"/>
  <c r="G86" i="29"/>
  <c r="C68" i="29"/>
  <c r="C73" i="29"/>
  <c r="F68" i="29"/>
  <c r="E68" i="29"/>
  <c r="G68" i="29"/>
  <c r="F86" i="29"/>
  <c r="I86" i="29"/>
  <c r="E86" i="29"/>
  <c r="D68" i="29"/>
  <c r="M43" i="11" l="1"/>
  <c r="M63" i="9"/>
  <c r="M70" i="9"/>
  <c r="M72" i="9" s="1"/>
  <c r="M24" i="9"/>
  <c r="M25" i="9" s="1"/>
  <c r="M46" i="11"/>
  <c r="K105" i="6"/>
  <c r="M32" i="11"/>
  <c r="C79" i="29"/>
  <c r="C91" i="29" s="1"/>
  <c r="I92" i="29"/>
  <c r="F92" i="29"/>
  <c r="E92" i="29"/>
  <c r="D92" i="29"/>
  <c r="H92" i="29"/>
  <c r="G92" i="29"/>
  <c r="M33" i="9" l="1"/>
  <c r="M20" i="11" s="1"/>
  <c r="M26" i="11" s="1"/>
  <c r="M28" i="11"/>
  <c r="M19" i="11"/>
  <c r="C86" i="29"/>
  <c r="M34" i="9"/>
  <c r="M21" i="11" s="1"/>
  <c r="M39" i="9"/>
  <c r="M37" i="9"/>
  <c r="C92" i="29" l="1"/>
  <c r="M44" i="9"/>
  <c r="K99" i="6" s="1"/>
  <c r="M40" i="9"/>
  <c r="M30" i="11" l="1"/>
  <c r="M22" i="11"/>
  <c r="M48" i="9"/>
  <c r="M50" i="9" s="1"/>
  <c r="M29" i="11" s="1"/>
  <c r="M31" i="11" l="1"/>
  <c r="B8" i="25"/>
  <c r="B3" i="25"/>
  <c r="B89" i="25"/>
  <c r="B76" i="25"/>
  <c r="B75" i="25"/>
  <c r="B84" i="25" s="1"/>
  <c r="B67" i="25"/>
  <c r="I76" i="25"/>
  <c r="H76" i="25"/>
  <c r="G76" i="25"/>
  <c r="F76" i="25"/>
  <c r="E76" i="25"/>
  <c r="D76" i="25"/>
  <c r="C76" i="25"/>
  <c r="J26" i="24" l="1"/>
  <c r="J27" i="24"/>
  <c r="J28" i="24"/>
  <c r="J25" i="24"/>
  <c r="D96" i="24"/>
  <c r="D165" i="24"/>
  <c r="D180" i="24"/>
  <c r="D129" i="24"/>
  <c r="D17" i="24"/>
  <c r="D51" i="24"/>
  <c r="D116" i="24"/>
  <c r="D42" i="24"/>
  <c r="D191" i="24"/>
  <c r="D56" i="24"/>
  <c r="D77" i="24"/>
  <c r="D150" i="24"/>
  <c r="D32" i="24"/>
  <c r="D10" i="24"/>
  <c r="D221" i="24"/>
  <c r="D37" i="24"/>
  <c r="D231" i="24"/>
  <c r="D26" i="24"/>
  <c r="D91" i="24"/>
  <c r="D94" i="24"/>
  <c r="D126" i="24"/>
  <c r="D119" i="24"/>
  <c r="D64" i="24"/>
  <c r="D156" i="24"/>
  <c r="D127" i="24"/>
  <c r="D28" i="24"/>
  <c r="D31" i="24"/>
  <c r="D181" i="24"/>
  <c r="D35" i="24"/>
  <c r="D104" i="24"/>
  <c r="D21" i="24"/>
  <c r="D14" i="24"/>
  <c r="D113" i="24"/>
  <c r="D134" i="24"/>
  <c r="D250" i="24"/>
  <c r="D149" i="24"/>
  <c r="D233" i="24"/>
  <c r="D25" i="24"/>
  <c r="D235" i="24"/>
  <c r="D248" i="24"/>
  <c r="D86" i="24"/>
  <c r="D178" i="24"/>
  <c r="D238" i="24"/>
  <c r="D255" i="24"/>
  <c r="D254" i="24"/>
  <c r="D60" i="24"/>
  <c r="D68" i="24"/>
  <c r="D196" i="24"/>
  <c r="D16" i="24"/>
  <c r="D18" i="24"/>
  <c r="D11" i="24"/>
  <c r="D244" i="24"/>
  <c r="D183" i="24"/>
  <c r="D111" i="24"/>
  <c r="D49" i="24"/>
  <c r="D247" i="24"/>
  <c r="D44" i="24"/>
  <c r="D112" i="24"/>
  <c r="D195" i="24"/>
  <c r="D218" i="24"/>
  <c r="D50" i="24"/>
  <c r="D188" i="24"/>
  <c r="D131" i="24"/>
  <c r="D100" i="24"/>
  <c r="D228" i="24"/>
  <c r="D239" i="24"/>
  <c r="D66" i="24"/>
  <c r="D38" i="24"/>
  <c r="D242" i="24"/>
  <c r="D65" i="24"/>
  <c r="D249" i="24"/>
  <c r="D90" i="24"/>
  <c r="D58" i="24"/>
  <c r="D217" i="24"/>
  <c r="D179" i="24"/>
  <c r="D209" i="24"/>
  <c r="D232" i="24"/>
  <c r="D207" i="24"/>
  <c r="D105" i="24"/>
  <c r="D61" i="24"/>
  <c r="D246" i="24"/>
  <c r="D245" i="24"/>
  <c r="D20" i="24"/>
  <c r="D142" i="24"/>
  <c r="D237" i="24"/>
  <c r="D152" i="24"/>
  <c r="D204" i="24"/>
  <c r="D95" i="24"/>
  <c r="D136" i="24"/>
  <c r="D107" i="24"/>
  <c r="D55" i="24"/>
  <c r="D189" i="24"/>
  <c r="D162" i="24"/>
  <c r="D81" i="24"/>
  <c r="D83" i="24"/>
  <c r="D236" i="24"/>
  <c r="D201" i="24"/>
  <c r="D122" i="24"/>
  <c r="D115" i="24"/>
  <c r="D72" i="24"/>
  <c r="D133" i="24"/>
  <c r="D168" i="24"/>
  <c r="D186" i="24"/>
  <c r="D36" i="24"/>
  <c r="D220" i="24"/>
  <c r="D89" i="24"/>
  <c r="D225" i="24"/>
  <c r="D187" i="24"/>
  <c r="D24" i="24"/>
  <c r="D141" i="24"/>
  <c r="D29" i="24"/>
  <c r="D200" i="24"/>
  <c r="D154" i="24"/>
  <c r="D153" i="24"/>
  <c r="D205" i="24"/>
  <c r="D80" i="24"/>
  <c r="D155" i="24"/>
  <c r="D243" i="24"/>
  <c r="D110" i="24"/>
  <c r="D206" i="24"/>
  <c r="D199" i="24"/>
  <c r="D98" i="24"/>
  <c r="D125" i="24"/>
  <c r="D27" i="24"/>
  <c r="D146" i="24"/>
  <c r="D251" i="24"/>
  <c r="D138" i="24"/>
  <c r="D48" i="24"/>
  <c r="D123" i="24"/>
  <c r="D88" i="24"/>
  <c r="D120" i="24"/>
  <c r="D219" i="24"/>
  <c r="D63" i="24"/>
  <c r="D215" i="24"/>
  <c r="D174" i="24"/>
  <c r="D130" i="24"/>
  <c r="D92" i="24"/>
  <c r="D97" i="24"/>
  <c r="D117" i="24"/>
  <c r="D177" i="24"/>
  <c r="D212" i="24"/>
  <c r="D54" i="24"/>
  <c r="D184" i="24"/>
  <c r="D19" i="24"/>
  <c r="D75" i="24"/>
  <c r="D82" i="24"/>
  <c r="D192" i="24"/>
  <c r="D108" i="24"/>
  <c r="D22" i="24"/>
  <c r="D159" i="24"/>
  <c r="D167" i="24"/>
  <c r="D15" i="24"/>
  <c r="D166" i="24"/>
  <c r="D147" i="24"/>
  <c r="D99" i="24"/>
  <c r="D151" i="24"/>
  <c r="D229" i="24"/>
  <c r="D57" i="24"/>
  <c r="D197" i="24"/>
  <c r="D85" i="24"/>
  <c r="D12" i="24"/>
  <c r="D93" i="24"/>
  <c r="D128" i="24"/>
  <c r="D252" i="24"/>
  <c r="D46" i="24"/>
  <c r="D194" i="24"/>
  <c r="D52" i="24"/>
  <c r="D144" i="24"/>
  <c r="D40" i="24"/>
  <c r="D118" i="24"/>
  <c r="D198" i="24"/>
  <c r="D211" i="24"/>
  <c r="D224" i="24"/>
  <c r="D71" i="24"/>
  <c r="D74" i="24"/>
  <c r="D47" i="24"/>
  <c r="D78" i="24"/>
  <c r="D171" i="24"/>
  <c r="D223" i="24"/>
  <c r="D213" i="24"/>
  <c r="D253" i="24"/>
  <c r="D9" i="24"/>
  <c r="D135" i="24"/>
  <c r="D23" i="24"/>
  <c r="D13" i="24"/>
  <c r="D140" i="24"/>
  <c r="D67" i="24"/>
  <c r="D234" i="24"/>
  <c r="D216" i="24"/>
  <c r="D109" i="24"/>
  <c r="D226" i="24"/>
  <c r="D30" i="24"/>
  <c r="D193" i="24"/>
  <c r="D148" i="24"/>
  <c r="D62" i="24"/>
  <c r="D170" i="24"/>
  <c r="D185" i="24"/>
  <c r="D39" i="24"/>
  <c r="D34" i="24"/>
  <c r="D139" i="24"/>
  <c r="D203" i="24"/>
  <c r="D163" i="24"/>
  <c r="D137" i="24"/>
  <c r="D157" i="24"/>
  <c r="D33" i="24"/>
  <c r="D79" i="24"/>
  <c r="D210" i="24"/>
  <c r="D161" i="24"/>
  <c r="D182" i="24"/>
  <c r="D87" i="24"/>
  <c r="D241" i="24"/>
  <c r="D69" i="24"/>
  <c r="D70" i="24"/>
  <c r="D222" i="24"/>
  <c r="D230" i="24"/>
  <c r="D160" i="24"/>
  <c r="D143" i="24"/>
  <c r="D103" i="24"/>
  <c r="D121" i="24"/>
  <c r="D106" i="24"/>
  <c r="D45" i="24"/>
  <c r="D208" i="24"/>
  <c r="D175" i="24"/>
  <c r="D172" i="24"/>
  <c r="D102" i="24"/>
  <c r="D59" i="24"/>
  <c r="D41" i="24"/>
  <c r="D114" i="24"/>
  <c r="D124" i="24"/>
  <c r="D158" i="24"/>
  <c r="D173" i="24"/>
  <c r="D53" i="24"/>
  <c r="D190" i="24"/>
  <c r="D145" i="24"/>
  <c r="D169" i="24"/>
  <c r="D240" i="24"/>
  <c r="D176" i="24"/>
  <c r="D214" i="24"/>
  <c r="D101" i="24"/>
  <c r="D202" i="24"/>
  <c r="D76" i="24"/>
  <c r="D43" i="24"/>
  <c r="D132" i="24"/>
  <c r="D84" i="24"/>
  <c r="D227" i="24"/>
  <c r="D164" i="24"/>
  <c r="M11" i="24"/>
  <c r="M14" i="24"/>
  <c r="M13" i="24"/>
  <c r="M12" i="24"/>
  <c r="G81" i="24" l="1"/>
  <c r="G153" i="24"/>
  <c r="G141" i="24"/>
  <c r="G129" i="24"/>
  <c r="G117" i="24"/>
  <c r="G249" i="24"/>
  <c r="G105" i="24"/>
  <c r="G237" i="24"/>
  <c r="G93" i="24"/>
  <c r="G225" i="24"/>
  <c r="G10" i="24"/>
  <c r="G213" i="24"/>
  <c r="G69" i="24"/>
  <c r="G201" i="24"/>
  <c r="G57" i="24"/>
  <c r="G189" i="24"/>
  <c r="G45" i="24"/>
  <c r="G177" i="24"/>
  <c r="G33" i="24"/>
  <c r="G165" i="24"/>
  <c r="G21" i="24"/>
  <c r="G248" i="24"/>
  <c r="G236" i="24"/>
  <c r="G224" i="24"/>
  <c r="G212" i="24"/>
  <c r="G200" i="24"/>
  <c r="G188" i="24"/>
  <c r="G176" i="24"/>
  <c r="G164" i="24"/>
  <c r="G152" i="24"/>
  <c r="G140" i="24"/>
  <c r="G128" i="24"/>
  <c r="G116" i="24"/>
  <c r="G104" i="24"/>
  <c r="G92" i="24"/>
  <c r="G80" i="24"/>
  <c r="G68" i="24"/>
  <c r="G56" i="24"/>
  <c r="G44" i="24"/>
  <c r="G32" i="24"/>
  <c r="G20" i="24"/>
  <c r="G247" i="24"/>
  <c r="G235" i="24"/>
  <c r="G223" i="24"/>
  <c r="G211" i="24"/>
  <c r="G199" i="24"/>
  <c r="G187" i="24"/>
  <c r="G175" i="24"/>
  <c r="G163" i="24"/>
  <c r="G151" i="24"/>
  <c r="G139" i="24"/>
  <c r="G127" i="24"/>
  <c r="G115" i="24"/>
  <c r="G103" i="24"/>
  <c r="G91" i="24"/>
  <c r="G79" i="24"/>
  <c r="G67" i="24"/>
  <c r="G55" i="24"/>
  <c r="G43" i="24"/>
  <c r="G31" i="24"/>
  <c r="G19" i="24"/>
  <c r="G246" i="24"/>
  <c r="G234" i="24"/>
  <c r="G222" i="24"/>
  <c r="G210" i="24"/>
  <c r="G198" i="24"/>
  <c r="G186" i="24"/>
  <c r="G174" i="24"/>
  <c r="G162" i="24"/>
  <c r="G150" i="24"/>
  <c r="G138" i="24"/>
  <c r="G126" i="24"/>
  <c r="G114" i="24"/>
  <c r="G102" i="24"/>
  <c r="G90" i="24"/>
  <c r="G78" i="24"/>
  <c r="G66" i="24"/>
  <c r="G54" i="24"/>
  <c r="G42" i="24"/>
  <c r="G30" i="24"/>
  <c r="G18" i="24"/>
  <c r="G9" i="24"/>
  <c r="G245" i="24"/>
  <c r="G233" i="24"/>
  <c r="G221" i="24"/>
  <c r="G209" i="24"/>
  <c r="G197" i="24"/>
  <c r="G185" i="24"/>
  <c r="G173" i="24"/>
  <c r="G161" i="24"/>
  <c r="G149" i="24"/>
  <c r="G137" i="24"/>
  <c r="G125" i="24"/>
  <c r="G113" i="24"/>
  <c r="G101" i="24"/>
  <c r="G89" i="24"/>
  <c r="G77" i="24"/>
  <c r="G65" i="24"/>
  <c r="G53" i="24"/>
  <c r="G41" i="24"/>
  <c r="G29" i="24"/>
  <c r="G17" i="24"/>
  <c r="G256" i="24"/>
  <c r="G244" i="24"/>
  <c r="G232" i="24"/>
  <c r="G220" i="24"/>
  <c r="G208" i="24"/>
  <c r="G196" i="24"/>
  <c r="G184" i="24"/>
  <c r="G172" i="24"/>
  <c r="G160" i="24"/>
  <c r="G148" i="24"/>
  <c r="G136" i="24"/>
  <c r="G124" i="24"/>
  <c r="G112" i="24"/>
  <c r="G100" i="24"/>
  <c r="G88" i="24"/>
  <c r="G76" i="24"/>
  <c r="G64" i="24"/>
  <c r="G52" i="24"/>
  <c r="G40" i="24"/>
  <c r="G28" i="24"/>
  <c r="G16" i="24"/>
  <c r="G255" i="24"/>
  <c r="G243" i="24"/>
  <c r="G231" i="24"/>
  <c r="G219" i="24"/>
  <c r="G207" i="24"/>
  <c r="G195" i="24"/>
  <c r="G183" i="24"/>
  <c r="G171" i="24"/>
  <c r="G159" i="24"/>
  <c r="G147" i="24"/>
  <c r="G135" i="24"/>
  <c r="G123" i="24"/>
  <c r="G111" i="24"/>
  <c r="G99" i="24"/>
  <c r="G87" i="24"/>
  <c r="G75" i="24"/>
  <c r="G63" i="24"/>
  <c r="G51" i="24"/>
  <c r="G39" i="24"/>
  <c r="G27" i="24"/>
  <c r="G15" i="24"/>
  <c r="G254" i="24"/>
  <c r="G242" i="24"/>
  <c r="G230" i="24"/>
  <c r="G218" i="24"/>
  <c r="G206" i="24"/>
  <c r="G194" i="24"/>
  <c r="G182" i="24"/>
  <c r="G170" i="24"/>
  <c r="G158" i="24"/>
  <c r="G146" i="24"/>
  <c r="G134" i="24"/>
  <c r="G122" i="24"/>
  <c r="G110" i="24"/>
  <c r="G98" i="24"/>
  <c r="G86" i="24"/>
  <c r="G74" i="24"/>
  <c r="G62" i="24"/>
  <c r="G50" i="24"/>
  <c r="G38" i="24"/>
  <c r="G26" i="24"/>
  <c r="G14" i="24"/>
  <c r="G253" i="24"/>
  <c r="G241" i="24"/>
  <c r="G229" i="24"/>
  <c r="G217" i="24"/>
  <c r="G205" i="24"/>
  <c r="G193" i="24"/>
  <c r="G181" i="24"/>
  <c r="G169" i="24"/>
  <c r="G157" i="24"/>
  <c r="G145" i="24"/>
  <c r="G133" i="24"/>
  <c r="G121" i="24"/>
  <c r="G109" i="24"/>
  <c r="G97" i="24"/>
  <c r="G85" i="24"/>
  <c r="G61" i="24"/>
  <c r="G49" i="24"/>
  <c r="G37" i="24"/>
  <c r="G25" i="24"/>
  <c r="G13" i="24"/>
  <c r="G252" i="24"/>
  <c r="G240" i="24"/>
  <c r="G228" i="24"/>
  <c r="G216" i="24"/>
  <c r="G204" i="24"/>
  <c r="G192" i="24"/>
  <c r="G180" i="24"/>
  <c r="G168" i="24"/>
  <c r="G156" i="24"/>
  <c r="G144" i="24"/>
  <c r="G132" i="24"/>
  <c r="G120" i="24"/>
  <c r="G108" i="24"/>
  <c r="G96" i="24"/>
  <c r="G84" i="24"/>
  <c r="G72" i="24"/>
  <c r="G60" i="24"/>
  <c r="G48" i="24"/>
  <c r="G36" i="24"/>
  <c r="G24" i="24"/>
  <c r="G12" i="24"/>
  <c r="G251" i="24"/>
  <c r="G239" i="24"/>
  <c r="G227" i="24"/>
  <c r="G215" i="24"/>
  <c r="G203" i="24"/>
  <c r="G191" i="24"/>
  <c r="G179" i="24"/>
  <c r="G167" i="24"/>
  <c r="G155" i="24"/>
  <c r="G143" i="24"/>
  <c r="G131" i="24"/>
  <c r="G119" i="24"/>
  <c r="G107" i="24"/>
  <c r="G95" i="24"/>
  <c r="G83" i="24"/>
  <c r="G71" i="24"/>
  <c r="G59" i="24"/>
  <c r="G47" i="24"/>
  <c r="G35" i="24"/>
  <c r="G23" i="24"/>
  <c r="G11" i="24"/>
  <c r="G250" i="24"/>
  <c r="G238" i="24"/>
  <c r="G226" i="24"/>
  <c r="G214" i="24"/>
  <c r="G202" i="24"/>
  <c r="G190" i="24"/>
  <c r="G178" i="24"/>
  <c r="G166" i="24"/>
  <c r="G154" i="24"/>
  <c r="G142" i="24"/>
  <c r="G130" i="24"/>
  <c r="G118" i="24"/>
  <c r="G106" i="24"/>
  <c r="G94" i="24"/>
  <c r="G82" i="24"/>
  <c r="G70" i="24"/>
  <c r="G58" i="24"/>
  <c r="G46" i="24"/>
  <c r="G34" i="24"/>
  <c r="G22" i="24"/>
  <c r="K26" i="24" l="1"/>
  <c r="L26" i="24" s="1"/>
  <c r="M26" i="24" s="1"/>
  <c r="K27" i="24"/>
  <c r="L27" i="24" s="1"/>
  <c r="M27" i="24" s="1"/>
  <c r="K28" i="24"/>
  <c r="L28" i="24" s="1"/>
  <c r="K25" i="24"/>
  <c r="L25" i="24" s="1"/>
  <c r="M25" i="24" s="1"/>
  <c r="M21" i="24"/>
  <c r="M20" i="24"/>
  <c r="M19" i="24"/>
  <c r="M18" i="24"/>
  <c r="O14" i="23"/>
  <c r="P14" i="23" s="1"/>
  <c r="N14" i="23"/>
  <c r="M14" i="23" s="1"/>
  <c r="O12" i="23"/>
  <c r="P12" i="23" s="1"/>
  <c r="N12" i="23"/>
  <c r="M12" i="23" s="1"/>
  <c r="O13" i="23"/>
  <c r="P13" i="23" s="1"/>
  <c r="N13" i="23"/>
  <c r="M13" i="23" s="1"/>
  <c r="Q34" i="22"/>
  <c r="O34" i="22"/>
  <c r="B29" i="22"/>
  <c r="M13" i="22"/>
  <c r="M14" i="22"/>
  <c r="M15" i="22"/>
  <c r="M16" i="22"/>
  <c r="M17" i="22"/>
  <c r="M18" i="22"/>
  <c r="M19" i="22"/>
  <c r="M20" i="22"/>
  <c r="M21" i="22"/>
  <c r="M12" i="22"/>
  <c r="L13" i="22"/>
  <c r="L14" i="22"/>
  <c r="L15" i="22"/>
  <c r="L16" i="22"/>
  <c r="L17" i="22"/>
  <c r="L18" i="22"/>
  <c r="L19" i="22"/>
  <c r="L20" i="22"/>
  <c r="L21" i="22"/>
  <c r="L12" i="22"/>
  <c r="K13" i="22"/>
  <c r="K14" i="22"/>
  <c r="K15" i="22"/>
  <c r="K16" i="22"/>
  <c r="K17" i="22"/>
  <c r="K18" i="22"/>
  <c r="K19" i="22"/>
  <c r="K20" i="22"/>
  <c r="K21" i="22"/>
  <c r="K12" i="22"/>
  <c r="G13" i="22"/>
  <c r="G14" i="22"/>
  <c r="G15" i="22"/>
  <c r="G16" i="22"/>
  <c r="G17" i="22"/>
  <c r="G18" i="22"/>
  <c r="G19" i="22"/>
  <c r="G20" i="22"/>
  <c r="G21" i="22"/>
  <c r="G12" i="22"/>
  <c r="O32" i="22" s="1"/>
  <c r="I4" i="27"/>
  <c r="I5" i="27"/>
  <c r="I6" i="27"/>
  <c r="I7" i="27"/>
  <c r="I8" i="27"/>
  <c r="I9" i="27"/>
  <c r="I10" i="27"/>
  <c r="I11" i="27"/>
  <c r="I12" i="27"/>
  <c r="I3" i="27"/>
  <c r="E12" i="22"/>
  <c r="P34" i="22" s="1"/>
  <c r="E13" i="22"/>
  <c r="E14" i="22"/>
  <c r="E15" i="22"/>
  <c r="E16" i="22"/>
  <c r="E17" i="22"/>
  <c r="E18" i="22"/>
  <c r="E19" i="22"/>
  <c r="F19" i="22" s="1"/>
  <c r="H19" i="22" s="1"/>
  <c r="E20" i="22"/>
  <c r="E21" i="22"/>
  <c r="B21" i="22"/>
  <c r="D13" i="22"/>
  <c r="D14" i="22"/>
  <c r="D15" i="22"/>
  <c r="D16" i="22"/>
  <c r="D17" i="22"/>
  <c r="D18" i="22"/>
  <c r="D19" i="22"/>
  <c r="D20" i="22"/>
  <c r="D21" i="22"/>
  <c r="D12" i="22"/>
  <c r="B13" i="22"/>
  <c r="B14" i="22"/>
  <c r="B15" i="22"/>
  <c r="B16" i="22"/>
  <c r="B17" i="22"/>
  <c r="B18" i="22"/>
  <c r="B19" i="22"/>
  <c r="B20" i="22"/>
  <c r="B12" i="22"/>
  <c r="P4" i="27"/>
  <c r="P5" i="27"/>
  <c r="P6" i="27"/>
  <c r="P7" i="27"/>
  <c r="P8" i="27"/>
  <c r="P9" i="27"/>
  <c r="P10" i="27"/>
  <c r="P11" i="27"/>
  <c r="P12" i="27"/>
  <c r="P3" i="27"/>
  <c r="O4" i="27"/>
  <c r="O5" i="27"/>
  <c r="O6" i="27"/>
  <c r="O7" i="27"/>
  <c r="O8" i="27"/>
  <c r="O9" i="27"/>
  <c r="O10" i="27"/>
  <c r="O11" i="27"/>
  <c r="O12" i="27"/>
  <c r="O3" i="27"/>
  <c r="B2" i="16"/>
  <c r="B1" i="23"/>
  <c r="F21" i="22" l="1"/>
  <c r="H21" i="22" s="1"/>
  <c r="Q21" i="22"/>
  <c r="Q19" i="22"/>
  <c r="Q32" i="22"/>
  <c r="P32" i="22"/>
  <c r="F15" i="22"/>
  <c r="F12" i="22"/>
  <c r="M28" i="24"/>
  <c r="O19" i="22"/>
  <c r="P19" i="22"/>
  <c r="O21" i="22"/>
  <c r="P21" i="22"/>
  <c r="F20" i="22"/>
  <c r="F18" i="22"/>
  <c r="F17" i="22"/>
  <c r="F16" i="22"/>
  <c r="F14" i="22"/>
  <c r="F13" i="22"/>
  <c r="H18" i="22" l="1"/>
  <c r="Q18" i="22"/>
  <c r="H12" i="22"/>
  <c r="Q12" i="22"/>
  <c r="H14" i="22"/>
  <c r="P14" i="22" s="1"/>
  <c r="Q14" i="22"/>
  <c r="H16" i="22"/>
  <c r="P16" i="22" s="1"/>
  <c r="Q16" i="22"/>
  <c r="H17" i="22"/>
  <c r="O17" i="22" s="1"/>
  <c r="Q17" i="22"/>
  <c r="H15" i="22"/>
  <c r="Q15" i="22"/>
  <c r="H13" i="22"/>
  <c r="O13" i="22" s="1"/>
  <c r="Q13" i="22"/>
  <c r="H20" i="22"/>
  <c r="O20" i="22" s="1"/>
  <c r="Q20" i="22"/>
  <c r="O18" i="22"/>
  <c r="P18" i="22"/>
  <c r="P13" i="22"/>
  <c r="O14" i="22"/>
  <c r="P17" i="22" l="1"/>
  <c r="O16" i="22"/>
  <c r="O15" i="22"/>
  <c r="P15" i="22"/>
  <c r="Q25" i="22"/>
  <c r="Q33" i="22" s="1"/>
  <c r="Q31" i="22" s="1"/>
  <c r="Q24" i="22"/>
  <c r="Q27" i="22"/>
  <c r="Q23" i="22"/>
  <c r="Q26" i="22"/>
  <c r="Q22" i="22"/>
  <c r="P20" i="22"/>
  <c r="O12" i="22"/>
  <c r="P12" i="22"/>
  <c r="B1" i="22"/>
  <c r="E43" i="20"/>
  <c r="E41" i="20"/>
  <c r="E40" i="20"/>
  <c r="E29" i="20"/>
  <c r="H50" i="21"/>
  <c r="I50" i="21" s="1"/>
  <c r="J50" i="21" s="1"/>
  <c r="H18" i="21"/>
  <c r="I18" i="21"/>
  <c r="J18" i="21"/>
  <c r="K18" i="21"/>
  <c r="H19" i="21"/>
  <c r="I19" i="21"/>
  <c r="J19" i="21"/>
  <c r="K19" i="21"/>
  <c r="G19" i="21"/>
  <c r="G18" i="21"/>
  <c r="B19" i="21"/>
  <c r="B18" i="21"/>
  <c r="H46" i="21"/>
  <c r="I46" i="21"/>
  <c r="J46" i="21"/>
  <c r="K46" i="21"/>
  <c r="G46" i="21"/>
  <c r="H35" i="21"/>
  <c r="I35" i="21"/>
  <c r="J35" i="21"/>
  <c r="K35" i="21"/>
  <c r="G35" i="21"/>
  <c r="G26" i="21"/>
  <c r="H26" i="21"/>
  <c r="I26" i="21"/>
  <c r="J26" i="21"/>
  <c r="K26" i="21"/>
  <c r="G27" i="21"/>
  <c r="H27" i="21"/>
  <c r="I27" i="21"/>
  <c r="J27" i="21"/>
  <c r="K27" i="21"/>
  <c r="G28" i="21"/>
  <c r="H28" i="21"/>
  <c r="I28" i="21"/>
  <c r="J28" i="21"/>
  <c r="K28" i="21"/>
  <c r="G29" i="21"/>
  <c r="H29" i="21"/>
  <c r="I29" i="21"/>
  <c r="J29" i="21"/>
  <c r="K29" i="21"/>
  <c r="G30" i="21"/>
  <c r="H30" i="21"/>
  <c r="I30" i="21"/>
  <c r="J30" i="21"/>
  <c r="K30" i="21"/>
  <c r="G31" i="21"/>
  <c r="H31" i="21"/>
  <c r="I31" i="21"/>
  <c r="J31" i="21"/>
  <c r="K31" i="21"/>
  <c r="G32" i="21"/>
  <c r="H32" i="21"/>
  <c r="I32" i="21"/>
  <c r="J32" i="21"/>
  <c r="K32" i="21"/>
  <c r="G33" i="21"/>
  <c r="H33" i="21"/>
  <c r="I33" i="21"/>
  <c r="J33" i="21"/>
  <c r="K33" i="21"/>
  <c r="H25" i="21"/>
  <c r="I25" i="21"/>
  <c r="J25" i="21"/>
  <c r="K25" i="21"/>
  <c r="G25" i="21"/>
  <c r="B26" i="21"/>
  <c r="B27" i="21"/>
  <c r="B28" i="21"/>
  <c r="B29" i="21"/>
  <c r="B30" i="21"/>
  <c r="B31" i="21"/>
  <c r="B32" i="21"/>
  <c r="B33" i="21"/>
  <c r="B34" i="21"/>
  <c r="B35" i="21"/>
  <c r="B25" i="21"/>
  <c r="G11" i="21"/>
  <c r="H11" i="21"/>
  <c r="I11" i="21"/>
  <c r="J11" i="21"/>
  <c r="K11" i="21"/>
  <c r="G12" i="21"/>
  <c r="H12" i="21"/>
  <c r="I12" i="21"/>
  <c r="J12" i="21"/>
  <c r="K12" i="21"/>
  <c r="G13" i="21"/>
  <c r="H13" i="21"/>
  <c r="I13" i="21"/>
  <c r="J13" i="21"/>
  <c r="K13" i="21"/>
  <c r="G14" i="21"/>
  <c r="H14" i="21"/>
  <c r="I14" i="21"/>
  <c r="J14" i="21"/>
  <c r="K14" i="21"/>
  <c r="B14" i="21"/>
  <c r="B12" i="21"/>
  <c r="B13" i="21"/>
  <c r="B11" i="21"/>
  <c r="H8" i="21"/>
  <c r="H44" i="21" s="1"/>
  <c r="H61" i="21" s="1"/>
  <c r="I8" i="21"/>
  <c r="I44" i="21" s="1"/>
  <c r="I61" i="21" s="1"/>
  <c r="J8" i="21"/>
  <c r="J44" i="21" s="1"/>
  <c r="J61" i="21" s="1"/>
  <c r="K8" i="21"/>
  <c r="K44" i="21" s="1"/>
  <c r="K61" i="21" s="1"/>
  <c r="G8" i="21"/>
  <c r="G44" i="21" s="1"/>
  <c r="G61" i="21" s="1"/>
  <c r="G20" i="21" l="1"/>
  <c r="P24" i="22"/>
  <c r="P27" i="22"/>
  <c r="P23" i="22"/>
  <c r="P25" i="22"/>
  <c r="P31" i="22" s="1"/>
  <c r="P33" i="22" s="1"/>
  <c r="P35" i="22" s="1"/>
  <c r="P37" i="22" s="1"/>
  <c r="P26" i="22"/>
  <c r="P22" i="22"/>
  <c r="O25" i="22"/>
  <c r="O31" i="22" s="1"/>
  <c r="O33" i="22" s="1"/>
  <c r="O35" i="22" s="1"/>
  <c r="O22" i="22"/>
  <c r="O24" i="22"/>
  <c r="O26" i="22"/>
  <c r="O27" i="22"/>
  <c r="O23" i="22"/>
  <c r="G34" i="21"/>
  <c r="G36" i="21" s="1"/>
  <c r="K34" i="21"/>
  <c r="K36" i="21" s="1"/>
  <c r="J34" i="21"/>
  <c r="J36" i="21" s="1"/>
  <c r="I34" i="21"/>
  <c r="I36" i="21" s="1"/>
  <c r="H34" i="21"/>
  <c r="H36" i="21" s="1"/>
  <c r="K50" i="21"/>
  <c r="I20" i="21"/>
  <c r="K20" i="21"/>
  <c r="H20" i="21"/>
  <c r="J20" i="21"/>
  <c r="K15" i="21"/>
  <c r="J15" i="21"/>
  <c r="H15" i="21"/>
  <c r="I15" i="21"/>
  <c r="G15" i="21"/>
  <c r="O37" i="22" l="1"/>
  <c r="N11" i="23"/>
  <c r="M11" i="23" s="1"/>
  <c r="I22" i="21"/>
  <c r="G22" i="21"/>
  <c r="G38" i="21" s="1"/>
  <c r="H22" i="21"/>
  <c r="H38" i="21" s="1"/>
  <c r="J22" i="21"/>
  <c r="J47" i="21" s="1"/>
  <c r="J53" i="21" s="1"/>
  <c r="I38" i="21"/>
  <c r="K22" i="21"/>
  <c r="K47" i="21" l="1"/>
  <c r="K53" i="21" s="1"/>
  <c r="H47" i="21"/>
  <c r="H53" i="21" s="1"/>
  <c r="K38" i="21"/>
  <c r="I47" i="21"/>
  <c r="I53" i="21" s="1"/>
  <c r="J38" i="21"/>
  <c r="B1" i="21" l="1"/>
  <c r="G12" i="20"/>
  <c r="H12" i="20" s="1"/>
  <c r="I12" i="20" s="1"/>
  <c r="J12" i="20" s="1"/>
  <c r="K12" i="20" s="1"/>
  <c r="F9" i="20"/>
  <c r="G9" i="20" s="1"/>
  <c r="H9" i="20" s="1"/>
  <c r="I9" i="20" s="1"/>
  <c r="J9" i="20" s="1"/>
  <c r="K9" i="20" s="1"/>
  <c r="B1" i="20"/>
  <c r="F29" i="15" l="1"/>
  <c r="K30" i="15"/>
  <c r="H13" i="19"/>
  <c r="H11" i="19"/>
  <c r="B2" i="19"/>
  <c r="G23" i="15" l="1"/>
  <c r="G22" i="15"/>
  <c r="F30" i="15" s="1"/>
  <c r="J18" i="15"/>
  <c r="J19" i="15"/>
  <c r="J20" i="15"/>
  <c r="J17" i="15"/>
  <c r="E17" i="17"/>
  <c r="E23" i="17" s="1"/>
  <c r="E25" i="17" s="1"/>
  <c r="H11" i="17"/>
  <c r="H10" i="17"/>
  <c r="H9" i="17"/>
  <c r="T263" i="17"/>
  <c r="T262" i="17"/>
  <c r="T261" i="17"/>
  <c r="T260" i="17"/>
  <c r="T259" i="17"/>
  <c r="T258" i="17"/>
  <c r="T257" i="17"/>
  <c r="T256" i="17"/>
  <c r="T255" i="17"/>
  <c r="T254" i="17"/>
  <c r="T253" i="17"/>
  <c r="T252" i="17"/>
  <c r="T251" i="17"/>
  <c r="T250" i="17"/>
  <c r="T249" i="17"/>
  <c r="T248" i="17"/>
  <c r="T247" i="17"/>
  <c r="T246" i="17"/>
  <c r="T245" i="17"/>
  <c r="T244" i="17"/>
  <c r="T243" i="17"/>
  <c r="T242" i="17"/>
  <c r="T241" i="17"/>
  <c r="T240" i="17"/>
  <c r="T239" i="17"/>
  <c r="T238" i="17"/>
  <c r="T237" i="17"/>
  <c r="T236" i="17"/>
  <c r="T235" i="17"/>
  <c r="T234" i="17"/>
  <c r="T233" i="17"/>
  <c r="T232" i="17"/>
  <c r="T231" i="17"/>
  <c r="T230" i="17"/>
  <c r="T229" i="17"/>
  <c r="T228" i="17"/>
  <c r="T227" i="17"/>
  <c r="T226" i="17"/>
  <c r="T225" i="17"/>
  <c r="T224" i="17"/>
  <c r="T223" i="17"/>
  <c r="T222" i="17"/>
  <c r="T221" i="17"/>
  <c r="T220" i="17"/>
  <c r="T219" i="17"/>
  <c r="T218" i="17"/>
  <c r="T217" i="17"/>
  <c r="T216" i="17"/>
  <c r="T215" i="17"/>
  <c r="T214" i="17"/>
  <c r="T213" i="17"/>
  <c r="T212" i="17"/>
  <c r="T211" i="17"/>
  <c r="T210" i="17"/>
  <c r="T209" i="17"/>
  <c r="T208" i="17"/>
  <c r="T207" i="17"/>
  <c r="T206" i="17"/>
  <c r="T205" i="17"/>
  <c r="T204" i="17"/>
  <c r="T203" i="17"/>
  <c r="T202" i="17"/>
  <c r="T201" i="17"/>
  <c r="T200" i="17"/>
  <c r="T199" i="17"/>
  <c r="T198" i="17"/>
  <c r="T197" i="17"/>
  <c r="T196" i="17"/>
  <c r="T195" i="17"/>
  <c r="T194" i="17"/>
  <c r="T193" i="17"/>
  <c r="T192" i="17"/>
  <c r="T191" i="17"/>
  <c r="T190" i="17"/>
  <c r="T189" i="17"/>
  <c r="T188" i="17"/>
  <c r="T187" i="17"/>
  <c r="T186" i="17"/>
  <c r="T185" i="17"/>
  <c r="T184" i="17"/>
  <c r="T183" i="17"/>
  <c r="T182" i="17"/>
  <c r="T181" i="17"/>
  <c r="T180" i="17"/>
  <c r="T179" i="17"/>
  <c r="T178" i="17"/>
  <c r="T177" i="17"/>
  <c r="T176" i="17"/>
  <c r="T175" i="17"/>
  <c r="T174" i="17"/>
  <c r="T173" i="17"/>
  <c r="T172" i="17"/>
  <c r="T171" i="17"/>
  <c r="T170" i="17"/>
  <c r="T169" i="17"/>
  <c r="T168" i="17"/>
  <c r="T167" i="17"/>
  <c r="T166" i="17"/>
  <c r="T165" i="17"/>
  <c r="T164" i="17"/>
  <c r="T163" i="17"/>
  <c r="T162" i="17"/>
  <c r="T161" i="17"/>
  <c r="T160" i="17"/>
  <c r="T159" i="17"/>
  <c r="T158" i="17"/>
  <c r="T157" i="17"/>
  <c r="T156" i="17"/>
  <c r="T155" i="17"/>
  <c r="T154" i="17"/>
  <c r="T153" i="17"/>
  <c r="T152" i="17"/>
  <c r="T151" i="17"/>
  <c r="T150" i="17"/>
  <c r="T149" i="17"/>
  <c r="T148" i="17"/>
  <c r="T147" i="17"/>
  <c r="T146" i="17"/>
  <c r="T145" i="17"/>
  <c r="T144" i="17"/>
  <c r="T143" i="17"/>
  <c r="T142" i="17"/>
  <c r="T141" i="17"/>
  <c r="T140" i="17"/>
  <c r="T139" i="17"/>
  <c r="T138" i="17"/>
  <c r="T137" i="17"/>
  <c r="T136" i="17"/>
  <c r="T135" i="17"/>
  <c r="T134" i="17"/>
  <c r="T133" i="17"/>
  <c r="T132" i="17"/>
  <c r="T131" i="17"/>
  <c r="T130" i="17"/>
  <c r="T129" i="17"/>
  <c r="T128" i="17"/>
  <c r="T127" i="17"/>
  <c r="T126" i="17"/>
  <c r="T125" i="17"/>
  <c r="T124" i="17"/>
  <c r="T123" i="17"/>
  <c r="T122" i="17"/>
  <c r="T121" i="17"/>
  <c r="T120" i="17"/>
  <c r="T119" i="17"/>
  <c r="T118" i="17"/>
  <c r="T117" i="17"/>
  <c r="T116" i="17"/>
  <c r="T115" i="17"/>
  <c r="T114" i="17"/>
  <c r="T113" i="17"/>
  <c r="T112" i="17"/>
  <c r="T111" i="17"/>
  <c r="T110" i="17"/>
  <c r="T109" i="17"/>
  <c r="T108" i="17"/>
  <c r="T107" i="17"/>
  <c r="T106" i="17"/>
  <c r="T105" i="17"/>
  <c r="T104" i="17"/>
  <c r="T103" i="17"/>
  <c r="T102" i="17"/>
  <c r="T101" i="17"/>
  <c r="T100" i="17"/>
  <c r="T99" i="17"/>
  <c r="T98" i="17"/>
  <c r="T97" i="17"/>
  <c r="T96" i="17"/>
  <c r="T95" i="17"/>
  <c r="T94" i="17"/>
  <c r="T93" i="17"/>
  <c r="T92" i="17"/>
  <c r="T91" i="17"/>
  <c r="T90" i="17"/>
  <c r="T89" i="17"/>
  <c r="T88" i="17"/>
  <c r="T87" i="17"/>
  <c r="T86" i="17"/>
  <c r="T85" i="17"/>
  <c r="T84" i="17"/>
  <c r="T83" i="17"/>
  <c r="T82" i="17"/>
  <c r="T81" i="17"/>
  <c r="T80" i="17"/>
  <c r="T79" i="17"/>
  <c r="T78" i="17"/>
  <c r="T77" i="17"/>
  <c r="T76" i="17"/>
  <c r="T75" i="17"/>
  <c r="T74" i="17"/>
  <c r="T73" i="17"/>
  <c r="T72" i="17"/>
  <c r="T71" i="17"/>
  <c r="T70" i="17"/>
  <c r="T69" i="17"/>
  <c r="T68" i="17"/>
  <c r="T67" i="17"/>
  <c r="T66" i="17"/>
  <c r="T65" i="17"/>
  <c r="T64" i="17"/>
  <c r="T63" i="17"/>
  <c r="T62" i="17"/>
  <c r="T61" i="17"/>
  <c r="T60" i="17"/>
  <c r="T59" i="17"/>
  <c r="T58" i="17"/>
  <c r="T57" i="17"/>
  <c r="T56" i="17"/>
  <c r="T55" i="17"/>
  <c r="T54" i="17"/>
  <c r="T53" i="17"/>
  <c r="T52" i="17"/>
  <c r="T51" i="17"/>
  <c r="T50" i="17"/>
  <c r="T49" i="17"/>
  <c r="T48" i="17"/>
  <c r="T47" i="17"/>
  <c r="T46" i="17"/>
  <c r="T45" i="17"/>
  <c r="T44" i="17"/>
  <c r="T43" i="17"/>
  <c r="T42" i="17"/>
  <c r="T41" i="17"/>
  <c r="T40" i="17"/>
  <c r="T39" i="17"/>
  <c r="T38" i="17"/>
  <c r="T37" i="17"/>
  <c r="T36" i="17"/>
  <c r="T35" i="17"/>
  <c r="T34" i="17"/>
  <c r="T33" i="17"/>
  <c r="T32" i="17"/>
  <c r="T31" i="17"/>
  <c r="T30" i="17"/>
  <c r="T29" i="17"/>
  <c r="T28" i="17"/>
  <c r="T27" i="17"/>
  <c r="T26" i="17"/>
  <c r="T25" i="17"/>
  <c r="T24" i="17"/>
  <c r="T23" i="17"/>
  <c r="T22" i="17"/>
  <c r="T21" i="17"/>
  <c r="T20" i="17"/>
  <c r="T19" i="17"/>
  <c r="T18" i="17"/>
  <c r="T17" i="17"/>
  <c r="T16" i="17"/>
  <c r="T15" i="17"/>
  <c r="T14" i="17"/>
  <c r="T13" i="17"/>
  <c r="T12" i="17"/>
  <c r="T11" i="17"/>
  <c r="T10" i="17"/>
  <c r="T9" i="17"/>
  <c r="T8" i="17"/>
  <c r="T7" i="17"/>
  <c r="T6" i="17"/>
  <c r="T5" i="17"/>
  <c r="T4" i="17"/>
  <c r="R263" i="17"/>
  <c r="R262" i="17"/>
  <c r="R261" i="17"/>
  <c r="R260" i="17"/>
  <c r="R259" i="17"/>
  <c r="R258" i="17"/>
  <c r="R257" i="17"/>
  <c r="R256" i="17"/>
  <c r="R255" i="17"/>
  <c r="R254" i="17"/>
  <c r="R253" i="17"/>
  <c r="R252" i="17"/>
  <c r="R251" i="17"/>
  <c r="R250" i="17"/>
  <c r="R249" i="17"/>
  <c r="R248" i="17"/>
  <c r="R247" i="17"/>
  <c r="R246" i="17"/>
  <c r="R245" i="17"/>
  <c r="R244" i="17"/>
  <c r="R243" i="17"/>
  <c r="R242" i="17"/>
  <c r="R241" i="17"/>
  <c r="R240" i="17"/>
  <c r="R239" i="17"/>
  <c r="R238" i="17"/>
  <c r="R237" i="17"/>
  <c r="R236" i="17"/>
  <c r="R235" i="17"/>
  <c r="R234" i="17"/>
  <c r="R233" i="17"/>
  <c r="R232" i="17"/>
  <c r="R231" i="17"/>
  <c r="R230" i="17"/>
  <c r="R229" i="17"/>
  <c r="R228" i="17"/>
  <c r="R227" i="17"/>
  <c r="R226" i="17"/>
  <c r="R225" i="17"/>
  <c r="R224" i="17"/>
  <c r="R223" i="17"/>
  <c r="R222" i="17"/>
  <c r="R221" i="17"/>
  <c r="R220" i="17"/>
  <c r="R219" i="17"/>
  <c r="R218" i="17"/>
  <c r="R217" i="17"/>
  <c r="R216" i="17"/>
  <c r="R215" i="17"/>
  <c r="R214" i="17"/>
  <c r="R213" i="17"/>
  <c r="R212" i="17"/>
  <c r="R211" i="17"/>
  <c r="R210" i="17"/>
  <c r="R209" i="17"/>
  <c r="R208" i="17"/>
  <c r="R207" i="17"/>
  <c r="R206" i="17"/>
  <c r="R205" i="17"/>
  <c r="R204" i="17"/>
  <c r="R203" i="17"/>
  <c r="R202" i="17"/>
  <c r="R201" i="17"/>
  <c r="R200" i="17"/>
  <c r="R199" i="17"/>
  <c r="R198" i="17"/>
  <c r="R197" i="17"/>
  <c r="R196" i="17"/>
  <c r="R195" i="17"/>
  <c r="R194" i="17"/>
  <c r="R193" i="17"/>
  <c r="R192" i="17"/>
  <c r="R191" i="17"/>
  <c r="R190" i="17"/>
  <c r="R189" i="17"/>
  <c r="R188" i="17"/>
  <c r="R187" i="17"/>
  <c r="R186" i="17"/>
  <c r="R185" i="17"/>
  <c r="R184" i="17"/>
  <c r="R183" i="17"/>
  <c r="R182" i="17"/>
  <c r="R181" i="17"/>
  <c r="R180" i="17"/>
  <c r="R179" i="17"/>
  <c r="R178" i="17"/>
  <c r="R177" i="17"/>
  <c r="R176" i="17"/>
  <c r="R175" i="17"/>
  <c r="R174" i="17"/>
  <c r="R173" i="17"/>
  <c r="R172" i="17"/>
  <c r="R171" i="17"/>
  <c r="R170" i="17"/>
  <c r="R169" i="17"/>
  <c r="R168" i="17"/>
  <c r="R167" i="17"/>
  <c r="R166" i="17"/>
  <c r="R165" i="17"/>
  <c r="R164" i="17"/>
  <c r="R163" i="17"/>
  <c r="R162" i="17"/>
  <c r="R161" i="17"/>
  <c r="R160" i="17"/>
  <c r="R159" i="17"/>
  <c r="R158" i="17"/>
  <c r="R157" i="17"/>
  <c r="R156" i="17"/>
  <c r="R155" i="17"/>
  <c r="R154" i="17"/>
  <c r="R153" i="17"/>
  <c r="R152" i="17"/>
  <c r="R151" i="17"/>
  <c r="R150" i="17"/>
  <c r="R149" i="17"/>
  <c r="R148" i="17"/>
  <c r="R147" i="17"/>
  <c r="R146" i="17"/>
  <c r="R145" i="17"/>
  <c r="R144" i="17"/>
  <c r="R143" i="17"/>
  <c r="R142" i="17"/>
  <c r="R141" i="17"/>
  <c r="R140" i="17"/>
  <c r="R139" i="17"/>
  <c r="R138" i="17"/>
  <c r="R137" i="17"/>
  <c r="R136" i="17"/>
  <c r="R135" i="17"/>
  <c r="R134" i="17"/>
  <c r="R133" i="17"/>
  <c r="R132" i="17"/>
  <c r="R131" i="17"/>
  <c r="R130" i="17"/>
  <c r="R129" i="17"/>
  <c r="R128" i="17"/>
  <c r="R127" i="17"/>
  <c r="R126" i="17"/>
  <c r="R125" i="17"/>
  <c r="R124" i="17"/>
  <c r="R123" i="17"/>
  <c r="R122" i="17"/>
  <c r="R121" i="17"/>
  <c r="R120" i="17"/>
  <c r="R119" i="17"/>
  <c r="R118" i="17"/>
  <c r="R117" i="17"/>
  <c r="R116" i="17"/>
  <c r="R115" i="17"/>
  <c r="R114" i="17"/>
  <c r="R113" i="17"/>
  <c r="R112" i="17"/>
  <c r="R111" i="17"/>
  <c r="R110" i="17"/>
  <c r="R109" i="17"/>
  <c r="R108" i="17"/>
  <c r="R107" i="17"/>
  <c r="R106" i="17"/>
  <c r="R105" i="17"/>
  <c r="R104" i="17"/>
  <c r="R103" i="17"/>
  <c r="R102" i="17"/>
  <c r="R101" i="17"/>
  <c r="R100" i="17"/>
  <c r="R99" i="17"/>
  <c r="R98" i="17"/>
  <c r="R97" i="17"/>
  <c r="R96" i="17"/>
  <c r="R95" i="17"/>
  <c r="R94" i="17"/>
  <c r="R93" i="17"/>
  <c r="R92" i="17"/>
  <c r="R91" i="17"/>
  <c r="R90" i="17"/>
  <c r="R89" i="17"/>
  <c r="R88" i="17"/>
  <c r="R87" i="17"/>
  <c r="R86" i="17"/>
  <c r="R85" i="17"/>
  <c r="R84" i="17"/>
  <c r="R83" i="17"/>
  <c r="R82" i="17"/>
  <c r="R81" i="17"/>
  <c r="R80" i="17"/>
  <c r="R79" i="17"/>
  <c r="R78" i="17"/>
  <c r="R77" i="17"/>
  <c r="R76" i="17"/>
  <c r="R75" i="17"/>
  <c r="R74" i="17"/>
  <c r="R73" i="17"/>
  <c r="R72" i="17"/>
  <c r="R71" i="17"/>
  <c r="R70" i="17"/>
  <c r="R69" i="17"/>
  <c r="R68" i="17"/>
  <c r="R67" i="17"/>
  <c r="R66" i="17"/>
  <c r="R65" i="17"/>
  <c r="R64" i="17"/>
  <c r="R63" i="17"/>
  <c r="R62" i="17"/>
  <c r="R61" i="17"/>
  <c r="R60" i="17"/>
  <c r="R59" i="17"/>
  <c r="R58" i="17"/>
  <c r="R57" i="17"/>
  <c r="R56" i="17"/>
  <c r="R55" i="17"/>
  <c r="R54" i="17"/>
  <c r="R53" i="17"/>
  <c r="R52" i="17"/>
  <c r="R51" i="17"/>
  <c r="R50" i="17"/>
  <c r="R49" i="17"/>
  <c r="R48" i="17"/>
  <c r="R47" i="17"/>
  <c r="R46" i="17"/>
  <c r="R45" i="17"/>
  <c r="R44" i="17"/>
  <c r="R43" i="17"/>
  <c r="R42" i="17"/>
  <c r="R41" i="17"/>
  <c r="R40" i="17"/>
  <c r="R39" i="17"/>
  <c r="R38" i="17"/>
  <c r="R37" i="17"/>
  <c r="R36" i="17"/>
  <c r="R35" i="17"/>
  <c r="R34" i="17"/>
  <c r="R33" i="17"/>
  <c r="R32" i="17"/>
  <c r="R31" i="17"/>
  <c r="R30" i="17"/>
  <c r="R29" i="17"/>
  <c r="R28" i="17"/>
  <c r="R27" i="17"/>
  <c r="R26" i="17"/>
  <c r="R25" i="17"/>
  <c r="R24" i="17"/>
  <c r="R23" i="17"/>
  <c r="R22" i="17"/>
  <c r="R21" i="17"/>
  <c r="R20" i="17"/>
  <c r="R19" i="17"/>
  <c r="R18" i="17"/>
  <c r="R17" i="17"/>
  <c r="R16" i="17"/>
  <c r="R15" i="17"/>
  <c r="R14" i="17"/>
  <c r="R13" i="17"/>
  <c r="R12" i="17"/>
  <c r="R11" i="17"/>
  <c r="R10" i="17"/>
  <c r="R9" i="17"/>
  <c r="R8" i="17"/>
  <c r="R7" i="17"/>
  <c r="R6" i="17"/>
  <c r="R5" i="17"/>
  <c r="R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N263" i="17"/>
  <c r="N262" i="17"/>
  <c r="N261" i="17"/>
  <c r="N260" i="17"/>
  <c r="N259" i="17"/>
  <c r="N258" i="17"/>
  <c r="N257" i="17"/>
  <c r="N256" i="17"/>
  <c r="N255" i="17"/>
  <c r="N254" i="17"/>
  <c r="N253" i="17"/>
  <c r="N252" i="17"/>
  <c r="N251" i="17"/>
  <c r="N250" i="17"/>
  <c r="N249" i="17"/>
  <c r="N248" i="17"/>
  <c r="N247" i="17"/>
  <c r="N246" i="17"/>
  <c r="N245" i="17"/>
  <c r="N244" i="17"/>
  <c r="N243" i="17"/>
  <c r="N242" i="17"/>
  <c r="N241" i="17"/>
  <c r="N240" i="17"/>
  <c r="N239" i="17"/>
  <c r="N238" i="17"/>
  <c r="N237" i="17"/>
  <c r="N236" i="17"/>
  <c r="N235" i="17"/>
  <c r="N234" i="17"/>
  <c r="N233" i="17"/>
  <c r="N232" i="17"/>
  <c r="N231" i="17"/>
  <c r="N230" i="17"/>
  <c r="N229" i="17"/>
  <c r="N228" i="17"/>
  <c r="N227" i="17"/>
  <c r="N226" i="17"/>
  <c r="N225" i="17"/>
  <c r="N224" i="17"/>
  <c r="N223" i="17"/>
  <c r="N222" i="17"/>
  <c r="N221" i="17"/>
  <c r="N220" i="17"/>
  <c r="N219" i="17"/>
  <c r="N218" i="17"/>
  <c r="N217" i="17"/>
  <c r="N216" i="17"/>
  <c r="N215" i="17"/>
  <c r="N214" i="17"/>
  <c r="N213" i="17"/>
  <c r="N212" i="17"/>
  <c r="N211" i="17"/>
  <c r="N210" i="17"/>
  <c r="N209" i="17"/>
  <c r="N208" i="17"/>
  <c r="N207" i="17"/>
  <c r="N206" i="17"/>
  <c r="N205" i="17"/>
  <c r="N204" i="17"/>
  <c r="N203" i="17"/>
  <c r="N202" i="17"/>
  <c r="N201" i="17"/>
  <c r="N200" i="17"/>
  <c r="N199" i="17"/>
  <c r="N198" i="17"/>
  <c r="N197" i="17"/>
  <c r="N196" i="17"/>
  <c r="N195" i="17"/>
  <c r="N194" i="17"/>
  <c r="N193" i="17"/>
  <c r="N192" i="17"/>
  <c r="N191" i="17"/>
  <c r="N190" i="17"/>
  <c r="N189" i="17"/>
  <c r="N188" i="17"/>
  <c r="N187" i="17"/>
  <c r="N186" i="17"/>
  <c r="N185" i="17"/>
  <c r="N184" i="17"/>
  <c r="N183" i="17"/>
  <c r="N182" i="17"/>
  <c r="N181" i="17"/>
  <c r="N180" i="17"/>
  <c r="N179" i="17"/>
  <c r="N178" i="17"/>
  <c r="N177" i="17"/>
  <c r="N176" i="17"/>
  <c r="N175" i="17"/>
  <c r="N174" i="17"/>
  <c r="N173" i="17"/>
  <c r="N172" i="17"/>
  <c r="N171" i="17"/>
  <c r="N170" i="17"/>
  <c r="N169" i="17"/>
  <c r="N168" i="17"/>
  <c r="N167" i="17"/>
  <c r="N166" i="17"/>
  <c r="N165" i="17"/>
  <c r="N164" i="17"/>
  <c r="N163" i="17"/>
  <c r="N162" i="17"/>
  <c r="N161" i="17"/>
  <c r="N160" i="17"/>
  <c r="N159" i="17"/>
  <c r="N158" i="17"/>
  <c r="N157" i="17"/>
  <c r="N156" i="17"/>
  <c r="N155" i="17"/>
  <c r="N154" i="17"/>
  <c r="N153" i="17"/>
  <c r="N152" i="17"/>
  <c r="N151" i="17"/>
  <c r="N150" i="17"/>
  <c r="N149" i="17"/>
  <c r="N148" i="17"/>
  <c r="N147" i="17"/>
  <c r="N146" i="17"/>
  <c r="N145" i="17"/>
  <c r="N144" i="17"/>
  <c r="N143" i="17"/>
  <c r="N142" i="17"/>
  <c r="N141" i="17"/>
  <c r="N140" i="17"/>
  <c r="N139" i="17"/>
  <c r="N138" i="17"/>
  <c r="N137" i="17"/>
  <c r="N136" i="17"/>
  <c r="N135" i="17"/>
  <c r="N134" i="17"/>
  <c r="N133" i="17"/>
  <c r="N132" i="17"/>
  <c r="N131" i="17"/>
  <c r="N130" i="17"/>
  <c r="N129" i="17"/>
  <c r="N128" i="17"/>
  <c r="N127" i="17"/>
  <c r="N126" i="17"/>
  <c r="N125" i="17"/>
  <c r="N124" i="17"/>
  <c r="N123" i="17"/>
  <c r="N122" i="17"/>
  <c r="N121" i="17"/>
  <c r="N120" i="17"/>
  <c r="N119" i="17"/>
  <c r="N118" i="17"/>
  <c r="N117" i="17"/>
  <c r="N116" i="17"/>
  <c r="N115" i="17"/>
  <c r="N114" i="17"/>
  <c r="N113" i="17"/>
  <c r="N112" i="17"/>
  <c r="N111" i="17"/>
  <c r="N110" i="17"/>
  <c r="N109" i="17"/>
  <c r="N108" i="17"/>
  <c r="N107" i="17"/>
  <c r="N106" i="17"/>
  <c r="N105" i="17"/>
  <c r="N104" i="17"/>
  <c r="N103" i="17"/>
  <c r="N102" i="17"/>
  <c r="N101" i="17"/>
  <c r="N100" i="17"/>
  <c r="N99" i="17"/>
  <c r="N98" i="17"/>
  <c r="N97" i="17"/>
  <c r="N96" i="17"/>
  <c r="N95" i="17"/>
  <c r="N94" i="17"/>
  <c r="N93" i="17"/>
  <c r="N92" i="17"/>
  <c r="N91" i="17"/>
  <c r="N90" i="17"/>
  <c r="N89" i="17"/>
  <c r="N88" i="17"/>
  <c r="N87" i="17"/>
  <c r="N86" i="17"/>
  <c r="N85" i="17"/>
  <c r="N84" i="17"/>
  <c r="N83" i="17"/>
  <c r="N82" i="17"/>
  <c r="N81" i="17"/>
  <c r="N80" i="17"/>
  <c r="N79" i="17"/>
  <c r="N78" i="17"/>
  <c r="N77" i="17"/>
  <c r="N76" i="17"/>
  <c r="N75" i="17"/>
  <c r="N74" i="17"/>
  <c r="N73" i="17"/>
  <c r="N72" i="17"/>
  <c r="N71" i="17"/>
  <c r="N70" i="17"/>
  <c r="N69" i="17"/>
  <c r="N68" i="17"/>
  <c r="N67" i="17"/>
  <c r="N66" i="17"/>
  <c r="N65" i="17"/>
  <c r="N64" i="17"/>
  <c r="N63" i="17"/>
  <c r="N62" i="17"/>
  <c r="N61" i="17"/>
  <c r="N60" i="17"/>
  <c r="N59" i="17"/>
  <c r="N58" i="17"/>
  <c r="N57" i="17"/>
  <c r="N56" i="17"/>
  <c r="N55" i="17"/>
  <c r="N54" i="17"/>
  <c r="N53" i="17"/>
  <c r="N52" i="17"/>
  <c r="N51" i="17"/>
  <c r="N50" i="17"/>
  <c r="N49" i="17"/>
  <c r="N48" i="17"/>
  <c r="N47" i="17"/>
  <c r="N46" i="17"/>
  <c r="N45" i="17"/>
  <c r="N44" i="17"/>
  <c r="N43" i="17"/>
  <c r="N42" i="17"/>
  <c r="N41" i="17"/>
  <c r="N40" i="17"/>
  <c r="N39" i="17"/>
  <c r="N38" i="17"/>
  <c r="N37" i="17"/>
  <c r="N36" i="17"/>
  <c r="N35" i="17"/>
  <c r="N34" i="17"/>
  <c r="N33" i="17"/>
  <c r="N32" i="17"/>
  <c r="N31" i="17"/>
  <c r="N30" i="17"/>
  <c r="N29" i="17"/>
  <c r="N28" i="17"/>
  <c r="N27" i="17"/>
  <c r="N26" i="17"/>
  <c r="N25" i="17"/>
  <c r="N24" i="17"/>
  <c r="N23" i="17"/>
  <c r="N22" i="17"/>
  <c r="N21" i="17"/>
  <c r="N20" i="17"/>
  <c r="N19" i="17"/>
  <c r="N18" i="17"/>
  <c r="N17" i="17"/>
  <c r="N16" i="17"/>
  <c r="N15" i="17"/>
  <c r="N14" i="17"/>
  <c r="N13" i="17"/>
  <c r="N12" i="17"/>
  <c r="N11" i="17"/>
  <c r="N10" i="17"/>
  <c r="N9" i="17"/>
  <c r="N8" i="17"/>
  <c r="N7" i="17"/>
  <c r="N6" i="17"/>
  <c r="N5" i="17"/>
  <c r="N4" i="17"/>
  <c r="F17" i="15"/>
  <c r="F18" i="15"/>
  <c r="F19" i="15"/>
  <c r="F20" i="15"/>
  <c r="F16" i="15"/>
  <c r="D39" i="15" s="1"/>
  <c r="E17" i="15"/>
  <c r="E18" i="15"/>
  <c r="E19" i="15"/>
  <c r="E20" i="15"/>
  <c r="E16" i="15"/>
  <c r="B2" i="17"/>
  <c r="I20" i="15" l="1"/>
  <c r="I19" i="15"/>
  <c r="I18" i="15"/>
  <c r="I17" i="15"/>
  <c r="K39" i="15"/>
  <c r="F31" i="15"/>
  <c r="K47" i="15" s="1"/>
  <c r="K19" i="15"/>
  <c r="K17" i="15"/>
  <c r="I16" i="15"/>
  <c r="D38" i="15"/>
  <c r="K20" i="15"/>
  <c r="H16" i="15"/>
  <c r="H17" i="15"/>
  <c r="H18" i="15"/>
  <c r="K18" i="15" s="1"/>
  <c r="H19" i="15"/>
  <c r="H20" i="15"/>
  <c r="B1" i="15"/>
  <c r="H23" i="15" l="1"/>
  <c r="H22" i="15"/>
  <c r="D40" i="15"/>
  <c r="E38" i="15" s="1"/>
  <c r="I23" i="15"/>
  <c r="I22" i="15"/>
  <c r="F38" i="15" s="1"/>
  <c r="B11" i="14"/>
  <c r="G274" i="14"/>
  <c r="G273" i="14"/>
  <c r="G272" i="14"/>
  <c r="G271" i="14"/>
  <c r="G270" i="14"/>
  <c r="G269" i="14"/>
  <c r="G268" i="14"/>
  <c r="G267" i="14"/>
  <c r="G266" i="14"/>
  <c r="G265" i="14"/>
  <c r="G264" i="14"/>
  <c r="G263" i="14"/>
  <c r="G262" i="14"/>
  <c r="G261" i="14"/>
  <c r="G260" i="14"/>
  <c r="G259" i="14"/>
  <c r="G258" i="14"/>
  <c r="G257" i="14"/>
  <c r="G256" i="14"/>
  <c r="G255" i="14"/>
  <c r="G254" i="14"/>
  <c r="G253" i="14"/>
  <c r="G252" i="14"/>
  <c r="G251" i="14"/>
  <c r="G250" i="14"/>
  <c r="G249" i="14"/>
  <c r="G248" i="14"/>
  <c r="G247" i="14"/>
  <c r="G246" i="14"/>
  <c r="G245" i="14"/>
  <c r="G244" i="14"/>
  <c r="G243" i="14"/>
  <c r="G242" i="14"/>
  <c r="G241" i="14"/>
  <c r="G240" i="14"/>
  <c r="G239" i="14"/>
  <c r="G238" i="14"/>
  <c r="G237" i="14"/>
  <c r="G236" i="14"/>
  <c r="G235" i="14"/>
  <c r="G234" i="14"/>
  <c r="G233" i="14"/>
  <c r="G232" i="14"/>
  <c r="G231" i="14"/>
  <c r="G230" i="14"/>
  <c r="G229" i="14"/>
  <c r="G228" i="14"/>
  <c r="G227" i="14"/>
  <c r="G226" i="14"/>
  <c r="G225" i="14"/>
  <c r="G224" i="14"/>
  <c r="G223" i="14"/>
  <c r="G222" i="14"/>
  <c r="G221" i="14"/>
  <c r="G220" i="14"/>
  <c r="G219" i="14"/>
  <c r="G218" i="14"/>
  <c r="G217" i="14"/>
  <c r="G216" i="14"/>
  <c r="G215" i="14"/>
  <c r="G214" i="14"/>
  <c r="G213" i="14"/>
  <c r="G212" i="14"/>
  <c r="G211" i="14"/>
  <c r="G210" i="14"/>
  <c r="G209" i="14"/>
  <c r="G208" i="14"/>
  <c r="G207" i="14"/>
  <c r="G206" i="14"/>
  <c r="G205" i="14"/>
  <c r="G204" i="14"/>
  <c r="G203" i="14"/>
  <c r="G202" i="14"/>
  <c r="G201" i="14"/>
  <c r="G200" i="14"/>
  <c r="G199" i="14"/>
  <c r="G198" i="14"/>
  <c r="G197" i="14"/>
  <c r="G196" i="14"/>
  <c r="G195" i="14"/>
  <c r="G194" i="14"/>
  <c r="G193" i="14"/>
  <c r="G192" i="14"/>
  <c r="G191" i="14"/>
  <c r="G190" i="14"/>
  <c r="G189" i="14"/>
  <c r="G188" i="14"/>
  <c r="G187" i="14"/>
  <c r="G186" i="14"/>
  <c r="G185" i="14"/>
  <c r="G184" i="14"/>
  <c r="G183" i="14"/>
  <c r="G182" i="14"/>
  <c r="G181" i="14"/>
  <c r="G180" i="14"/>
  <c r="G179" i="14"/>
  <c r="G178" i="14"/>
  <c r="G177" i="14"/>
  <c r="G176" i="14"/>
  <c r="G175" i="14"/>
  <c r="G174" i="14"/>
  <c r="G173" i="14"/>
  <c r="G172" i="14"/>
  <c r="G171" i="14"/>
  <c r="G170" i="14"/>
  <c r="G169" i="14"/>
  <c r="G168" i="14"/>
  <c r="G167" i="14"/>
  <c r="G166" i="14"/>
  <c r="G165" i="14"/>
  <c r="G164" i="14"/>
  <c r="G163" i="14"/>
  <c r="G162" i="14"/>
  <c r="G161" i="14"/>
  <c r="G160" i="14"/>
  <c r="G159" i="14"/>
  <c r="G158" i="14"/>
  <c r="G157" i="14"/>
  <c r="G156" i="14"/>
  <c r="G155" i="14"/>
  <c r="G154" i="14"/>
  <c r="G153" i="14"/>
  <c r="G152" i="14"/>
  <c r="G151" i="14"/>
  <c r="G150" i="14"/>
  <c r="G149" i="14"/>
  <c r="G148" i="14"/>
  <c r="G147" i="14"/>
  <c r="G146" i="14"/>
  <c r="G145" i="14"/>
  <c r="G144" i="14"/>
  <c r="G143" i="14"/>
  <c r="G142" i="14"/>
  <c r="G141" i="14"/>
  <c r="G140" i="14"/>
  <c r="G139" i="14"/>
  <c r="G138" i="14"/>
  <c r="G137" i="14"/>
  <c r="G136" i="14"/>
  <c r="G135" i="14"/>
  <c r="G134" i="14"/>
  <c r="G133" i="14"/>
  <c r="G132" i="14"/>
  <c r="G131" i="14"/>
  <c r="G130" i="14"/>
  <c r="G129" i="14"/>
  <c r="G128" i="14"/>
  <c r="G127" i="14"/>
  <c r="G126" i="14"/>
  <c r="G125" i="14"/>
  <c r="G124" i="14"/>
  <c r="G123" i="14"/>
  <c r="G122" i="14"/>
  <c r="G121" i="14"/>
  <c r="G120" i="14"/>
  <c r="G119" i="14"/>
  <c r="G118" i="14"/>
  <c r="G117" i="14"/>
  <c r="G116" i="14"/>
  <c r="G115" i="14"/>
  <c r="G114" i="14"/>
  <c r="G113" i="14"/>
  <c r="G112" i="14"/>
  <c r="G111" i="14"/>
  <c r="G110" i="14"/>
  <c r="G109" i="14"/>
  <c r="G108" i="14"/>
  <c r="G107" i="14"/>
  <c r="G106" i="14"/>
  <c r="G105" i="14"/>
  <c r="G104" i="14"/>
  <c r="G103" i="14"/>
  <c r="G102" i="14"/>
  <c r="G101" i="14"/>
  <c r="G100" i="14"/>
  <c r="G99" i="14"/>
  <c r="G98" i="14"/>
  <c r="G97" i="14"/>
  <c r="G96" i="14"/>
  <c r="G95" i="14"/>
  <c r="G94" i="14"/>
  <c r="G93" i="14"/>
  <c r="G92" i="14"/>
  <c r="G91" i="14"/>
  <c r="G90" i="14"/>
  <c r="G89" i="14"/>
  <c r="G88" i="14"/>
  <c r="G87" i="14"/>
  <c r="G86" i="14"/>
  <c r="G85" i="14"/>
  <c r="G84" i="14"/>
  <c r="G83" i="14"/>
  <c r="G82" i="14"/>
  <c r="G81" i="14"/>
  <c r="G80" i="14"/>
  <c r="G79" i="14"/>
  <c r="G78" i="14"/>
  <c r="G77" i="14"/>
  <c r="G76" i="14"/>
  <c r="G75" i="14"/>
  <c r="G74" i="14"/>
  <c r="G73" i="14"/>
  <c r="G72" i="14"/>
  <c r="G71" i="14"/>
  <c r="G70" i="14"/>
  <c r="G69" i="14"/>
  <c r="G68" i="14"/>
  <c r="G67" i="14"/>
  <c r="G66" i="14"/>
  <c r="G65" i="14"/>
  <c r="G64" i="14"/>
  <c r="G63" i="14"/>
  <c r="G62" i="14"/>
  <c r="G61" i="14"/>
  <c r="G60" i="14"/>
  <c r="G59" i="14"/>
  <c r="G58" i="14"/>
  <c r="G57" i="14"/>
  <c r="G56" i="14"/>
  <c r="G55" i="14"/>
  <c r="G54" i="14"/>
  <c r="G53" i="14"/>
  <c r="G52" i="14"/>
  <c r="G51" i="14"/>
  <c r="G50" i="14"/>
  <c r="G49" i="14"/>
  <c r="G48" i="14"/>
  <c r="G47" i="14"/>
  <c r="G46" i="14"/>
  <c r="G45" i="14"/>
  <c r="G44" i="14"/>
  <c r="G43" i="14"/>
  <c r="G42" i="14"/>
  <c r="G41" i="14"/>
  <c r="G40" i="14"/>
  <c r="G39" i="14"/>
  <c r="G38" i="14"/>
  <c r="G37" i="14"/>
  <c r="G36" i="14"/>
  <c r="G35" i="14"/>
  <c r="G34" i="14"/>
  <c r="G33" i="14"/>
  <c r="G32" i="14"/>
  <c r="G31" i="14"/>
  <c r="G30" i="14"/>
  <c r="G29" i="14"/>
  <c r="G28" i="14"/>
  <c r="G27" i="14"/>
  <c r="G26" i="14"/>
  <c r="G25" i="14"/>
  <c r="G24" i="14"/>
  <c r="G23" i="14"/>
  <c r="G22" i="14"/>
  <c r="G21" i="14"/>
  <c r="G20" i="14"/>
  <c r="G19" i="14"/>
  <c r="G18" i="14"/>
  <c r="G17" i="14"/>
  <c r="G16" i="14"/>
  <c r="G1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K13" i="14" l="1"/>
  <c r="J16" i="15" s="1"/>
  <c r="K48" i="15"/>
  <c r="E40" i="15"/>
  <c r="F40" i="15" s="1"/>
  <c r="F39" i="15" s="1"/>
  <c r="K45" i="15" s="1"/>
  <c r="E39" i="15"/>
  <c r="E42" i="15" s="1"/>
  <c r="B1" i="14"/>
  <c r="D59" i="13"/>
  <c r="D60" i="13"/>
  <c r="D61" i="13"/>
  <c r="D62" i="13"/>
  <c r="D58" i="13"/>
  <c r="E58" i="13" s="1"/>
  <c r="B46" i="13"/>
  <c r="E57" i="13"/>
  <c r="E56" i="13"/>
  <c r="E55" i="13"/>
  <c r="E54" i="13"/>
  <c r="E53" i="13"/>
  <c r="E52" i="13"/>
  <c r="E51" i="13"/>
  <c r="E50" i="13"/>
  <c r="E49" i="13"/>
  <c r="D40" i="13"/>
  <c r="D41" i="13"/>
  <c r="D42" i="13"/>
  <c r="D43" i="13"/>
  <c r="D39" i="13"/>
  <c r="D20" i="13"/>
  <c r="E31" i="13"/>
  <c r="E30" i="13"/>
  <c r="B27" i="13"/>
  <c r="E38" i="13"/>
  <c r="E37" i="13"/>
  <c r="E36" i="13"/>
  <c r="E35" i="13"/>
  <c r="E34" i="13"/>
  <c r="E33" i="13"/>
  <c r="E32" i="13"/>
  <c r="D21" i="13"/>
  <c r="D22" i="13"/>
  <c r="D23" i="13"/>
  <c r="D24" i="13"/>
  <c r="E24" i="13" s="1"/>
  <c r="E12" i="13"/>
  <c r="E13" i="13"/>
  <c r="E14" i="13"/>
  <c r="E15" i="13"/>
  <c r="E16" i="13"/>
  <c r="E17" i="13"/>
  <c r="E18" i="13"/>
  <c r="E19" i="13"/>
  <c r="E11" i="13"/>
  <c r="B8" i="13"/>
  <c r="E41" i="13" l="1"/>
  <c r="E42" i="13"/>
  <c r="E61" i="13"/>
  <c r="E22" i="13"/>
  <c r="E43" i="13"/>
  <c r="E60" i="13"/>
  <c r="K19" i="14"/>
  <c r="J22" i="15"/>
  <c r="J23" i="15"/>
  <c r="K16" i="15"/>
  <c r="F42" i="15"/>
  <c r="K38" i="15" s="1"/>
  <c r="E62" i="13"/>
  <c r="E59" i="13"/>
  <c r="E40" i="13"/>
  <c r="E39" i="13"/>
  <c r="E21" i="13"/>
  <c r="E23" i="13"/>
  <c r="E20" i="13"/>
  <c r="K23" i="15" l="1"/>
  <c r="K37" i="15" s="1"/>
  <c r="K40" i="15" s="1"/>
  <c r="K31" i="15" s="1"/>
  <c r="K32" i="15" s="1"/>
  <c r="K44" i="15" s="1"/>
  <c r="K50" i="15" s="1"/>
  <c r="E22" i="20" s="1"/>
  <c r="E28" i="20" s="1"/>
  <c r="K22" i="15"/>
  <c r="B1" i="13"/>
  <c r="D42" i="12"/>
  <c r="E42" i="12"/>
  <c r="F42" i="12"/>
  <c r="G42" i="12"/>
  <c r="H42" i="12"/>
  <c r="I42" i="12"/>
  <c r="J42" i="12"/>
  <c r="K42" i="12"/>
  <c r="L42" i="12"/>
  <c r="D43" i="12"/>
  <c r="E43" i="12"/>
  <c r="F43" i="12"/>
  <c r="G43" i="12"/>
  <c r="H43" i="12"/>
  <c r="I43" i="12"/>
  <c r="J43" i="12"/>
  <c r="K43" i="12"/>
  <c r="L43" i="12"/>
  <c r="E41" i="12"/>
  <c r="F41" i="12"/>
  <c r="G41" i="12"/>
  <c r="H41" i="12"/>
  <c r="I41" i="12"/>
  <c r="J41" i="12"/>
  <c r="K41" i="12"/>
  <c r="L41" i="12"/>
  <c r="D41" i="12"/>
  <c r="E39" i="12"/>
  <c r="F39" i="12"/>
  <c r="G39" i="12"/>
  <c r="H39" i="12"/>
  <c r="I39" i="12"/>
  <c r="J39" i="12"/>
  <c r="K39" i="12"/>
  <c r="L39" i="12"/>
  <c r="D39" i="12"/>
  <c r="E38" i="12"/>
  <c r="F38" i="12"/>
  <c r="G38" i="12"/>
  <c r="H38" i="12"/>
  <c r="I38" i="12"/>
  <c r="J38" i="12"/>
  <c r="K38" i="12"/>
  <c r="L38" i="12"/>
  <c r="D38" i="12"/>
  <c r="E37" i="12"/>
  <c r="F37" i="12"/>
  <c r="G37" i="12"/>
  <c r="H37" i="12"/>
  <c r="I37" i="12"/>
  <c r="J37" i="12"/>
  <c r="K37" i="12"/>
  <c r="L37" i="12"/>
  <c r="D37" i="12"/>
  <c r="E36" i="12"/>
  <c r="F36" i="12"/>
  <c r="G36" i="12"/>
  <c r="H36" i="12"/>
  <c r="I36" i="12"/>
  <c r="J36" i="12"/>
  <c r="K36" i="12"/>
  <c r="L36" i="12"/>
  <c r="D36" i="12"/>
  <c r="E32" i="12"/>
  <c r="F32" i="12"/>
  <c r="G32" i="12"/>
  <c r="H32" i="12"/>
  <c r="I32" i="12"/>
  <c r="J32" i="12"/>
  <c r="K32" i="12"/>
  <c r="L32" i="12"/>
  <c r="E33" i="12"/>
  <c r="F33" i="12"/>
  <c r="G33" i="12"/>
  <c r="H33" i="12"/>
  <c r="I33" i="12"/>
  <c r="J33" i="12"/>
  <c r="K33" i="12"/>
  <c r="L33" i="12"/>
  <c r="E34" i="12"/>
  <c r="F34" i="12"/>
  <c r="G34" i="12"/>
  <c r="H34" i="12"/>
  <c r="I34" i="12"/>
  <c r="J34" i="12"/>
  <c r="K34" i="12"/>
  <c r="L34" i="12"/>
  <c r="D32" i="12"/>
  <c r="D33" i="12"/>
  <c r="D34" i="12"/>
  <c r="E31" i="12"/>
  <c r="F31" i="12"/>
  <c r="G31" i="12"/>
  <c r="H31" i="12"/>
  <c r="I31" i="12"/>
  <c r="J31" i="12"/>
  <c r="K31" i="12"/>
  <c r="L31" i="12"/>
  <c r="D31" i="12"/>
  <c r="E30" i="12"/>
  <c r="F30" i="12"/>
  <c r="G30" i="12"/>
  <c r="H30" i="12"/>
  <c r="I30" i="12"/>
  <c r="J30" i="12"/>
  <c r="K30" i="12"/>
  <c r="L30" i="12"/>
  <c r="D30" i="12"/>
  <c r="B27" i="12"/>
  <c r="I17" i="20" l="1"/>
  <c r="G17" i="20"/>
  <c r="H17" i="20"/>
  <c r="J17" i="20"/>
  <c r="K17" i="20"/>
  <c r="F11" i="12"/>
  <c r="G11" i="12"/>
  <c r="H11" i="12"/>
  <c r="I11" i="12"/>
  <c r="J11" i="12"/>
  <c r="K11" i="12"/>
  <c r="L11" i="12"/>
  <c r="F12" i="12"/>
  <c r="G12" i="12"/>
  <c r="H12" i="12"/>
  <c r="I12" i="12"/>
  <c r="J12" i="12"/>
  <c r="K12" i="12"/>
  <c r="L12" i="12"/>
  <c r="F13" i="12"/>
  <c r="G13" i="12"/>
  <c r="H13" i="12"/>
  <c r="I13" i="12"/>
  <c r="J13" i="12"/>
  <c r="K13" i="12"/>
  <c r="L13" i="12"/>
  <c r="F14" i="12"/>
  <c r="G14" i="12"/>
  <c r="H14" i="12"/>
  <c r="I14" i="12"/>
  <c r="J14" i="12"/>
  <c r="K14" i="12"/>
  <c r="L14" i="12"/>
  <c r="F15" i="12"/>
  <c r="G15" i="12"/>
  <c r="H15" i="12"/>
  <c r="I15" i="12"/>
  <c r="J15" i="12"/>
  <c r="K15" i="12"/>
  <c r="L15" i="12"/>
  <c r="F16" i="12"/>
  <c r="G16" i="12"/>
  <c r="H16" i="12"/>
  <c r="I16" i="12"/>
  <c r="J16" i="12"/>
  <c r="K16" i="12"/>
  <c r="L16" i="12"/>
  <c r="F17" i="12"/>
  <c r="G17" i="12"/>
  <c r="H17" i="12"/>
  <c r="I17" i="12"/>
  <c r="J17" i="12"/>
  <c r="K17" i="12"/>
  <c r="L17" i="12"/>
  <c r="F18" i="12"/>
  <c r="G18" i="12"/>
  <c r="H18" i="12"/>
  <c r="I18" i="12"/>
  <c r="J18" i="12"/>
  <c r="K18" i="12"/>
  <c r="L18" i="12"/>
  <c r="F19" i="12"/>
  <c r="G19" i="12"/>
  <c r="H19" i="12"/>
  <c r="I19" i="12"/>
  <c r="J19" i="12"/>
  <c r="K19" i="12"/>
  <c r="L19" i="12"/>
  <c r="F20" i="12"/>
  <c r="G20" i="12"/>
  <c r="H20" i="12"/>
  <c r="I20" i="12"/>
  <c r="J20" i="12"/>
  <c r="K20" i="12"/>
  <c r="L20" i="12"/>
  <c r="F21" i="12"/>
  <c r="G21" i="12"/>
  <c r="H21" i="12"/>
  <c r="I21" i="12"/>
  <c r="J21" i="12"/>
  <c r="K21" i="12"/>
  <c r="L21" i="12"/>
  <c r="F22" i="12"/>
  <c r="G22" i="12"/>
  <c r="H22" i="12"/>
  <c r="I22" i="12"/>
  <c r="J22" i="12"/>
  <c r="K22" i="12"/>
  <c r="L22" i="12"/>
  <c r="F23" i="12"/>
  <c r="G23" i="12"/>
  <c r="H23" i="12"/>
  <c r="I23" i="12"/>
  <c r="J23" i="12"/>
  <c r="K23" i="12"/>
  <c r="L23" i="12"/>
  <c r="F24" i="12"/>
  <c r="G24" i="12"/>
  <c r="H24" i="12"/>
  <c r="I24" i="12"/>
  <c r="J24" i="12"/>
  <c r="K24" i="12"/>
  <c r="L24" i="12"/>
  <c r="F25" i="12"/>
  <c r="G25" i="12"/>
  <c r="H25" i="12"/>
  <c r="I25" i="12"/>
  <c r="J25" i="12"/>
  <c r="K25" i="12"/>
  <c r="L25" i="12"/>
  <c r="E11" i="12"/>
  <c r="E12" i="12"/>
  <c r="E13" i="12"/>
  <c r="E14" i="12"/>
  <c r="E15" i="12"/>
  <c r="E16" i="12"/>
  <c r="E17" i="12"/>
  <c r="E18" i="12"/>
  <c r="E19" i="12"/>
  <c r="E20" i="12"/>
  <c r="E21" i="12"/>
  <c r="E22" i="12"/>
  <c r="E23" i="12"/>
  <c r="E24" i="12"/>
  <c r="E25" i="12"/>
  <c r="D12" i="12"/>
  <c r="D13" i="12"/>
  <c r="D14" i="12"/>
  <c r="D15" i="12"/>
  <c r="D16" i="12"/>
  <c r="D17" i="12"/>
  <c r="D18" i="12"/>
  <c r="D19" i="12"/>
  <c r="D20" i="12"/>
  <c r="D21" i="12"/>
  <c r="D22" i="12"/>
  <c r="D23" i="12"/>
  <c r="D24" i="12"/>
  <c r="D25" i="12"/>
  <c r="D11" i="12"/>
  <c r="B1" i="12"/>
  <c r="B8" i="12"/>
  <c r="L9" i="12"/>
  <c r="L28" i="12" s="1"/>
  <c r="K9" i="12"/>
  <c r="K28" i="12" s="1"/>
  <c r="J9" i="12"/>
  <c r="J28" i="12" s="1"/>
  <c r="I9" i="12"/>
  <c r="I28" i="12" s="1"/>
  <c r="H9" i="12"/>
  <c r="H28" i="12" s="1"/>
  <c r="G9" i="12"/>
  <c r="G28" i="12" s="1"/>
  <c r="F9" i="12"/>
  <c r="F28" i="12" s="1"/>
  <c r="E9" i="12"/>
  <c r="E28" i="12" s="1"/>
  <c r="D9" i="12"/>
  <c r="D28" i="12" s="1"/>
  <c r="B12" i="11" l="1"/>
  <c r="B9" i="11"/>
  <c r="L10" i="11"/>
  <c r="K10" i="11"/>
  <c r="J10" i="11"/>
  <c r="I10" i="11"/>
  <c r="H10" i="11"/>
  <c r="G10" i="11"/>
  <c r="F10" i="11"/>
  <c r="E10" i="11"/>
  <c r="D10" i="11"/>
  <c r="B1" i="11"/>
  <c r="E104" i="9"/>
  <c r="F104" i="9"/>
  <c r="G104" i="9"/>
  <c r="H104" i="9"/>
  <c r="I104" i="9"/>
  <c r="J104" i="9"/>
  <c r="K104" i="9"/>
  <c r="L104" i="9"/>
  <c r="E105" i="9"/>
  <c r="F105" i="9"/>
  <c r="G105" i="9"/>
  <c r="H105" i="9"/>
  <c r="I105" i="9"/>
  <c r="J105" i="9"/>
  <c r="K105" i="9"/>
  <c r="L105" i="9"/>
  <c r="E106" i="9"/>
  <c r="F106" i="9"/>
  <c r="G106" i="9"/>
  <c r="H106" i="9"/>
  <c r="I106" i="9"/>
  <c r="J106" i="9"/>
  <c r="K106" i="9"/>
  <c r="L106" i="9"/>
  <c r="E107" i="9"/>
  <c r="F107" i="9"/>
  <c r="G107" i="9"/>
  <c r="H107" i="9"/>
  <c r="I107" i="9"/>
  <c r="J107" i="9"/>
  <c r="K107" i="9"/>
  <c r="L107" i="9"/>
  <c r="E108" i="9"/>
  <c r="F108" i="9"/>
  <c r="G108" i="9"/>
  <c r="H108" i="9"/>
  <c r="I108" i="9"/>
  <c r="J108" i="9"/>
  <c r="K108" i="9"/>
  <c r="L108" i="9"/>
  <c r="E109" i="9"/>
  <c r="F109" i="9"/>
  <c r="G109" i="9"/>
  <c r="H109" i="9"/>
  <c r="I109" i="9"/>
  <c r="J109" i="9"/>
  <c r="K109" i="9"/>
  <c r="L109" i="9"/>
  <c r="E110" i="9"/>
  <c r="F110" i="9"/>
  <c r="G110" i="9"/>
  <c r="H110" i="9"/>
  <c r="I110" i="9"/>
  <c r="J110" i="9"/>
  <c r="K110" i="9"/>
  <c r="L110" i="9"/>
  <c r="E111" i="9"/>
  <c r="F111" i="9"/>
  <c r="G111" i="9"/>
  <c r="H111" i="9"/>
  <c r="I111" i="9"/>
  <c r="J111" i="9"/>
  <c r="K111" i="9"/>
  <c r="L111" i="9"/>
  <c r="D105" i="9"/>
  <c r="D106" i="9"/>
  <c r="D107" i="9"/>
  <c r="D108" i="9"/>
  <c r="D109" i="9"/>
  <c r="D110" i="9"/>
  <c r="D111" i="9"/>
  <c r="D104" i="9"/>
  <c r="E81" i="9"/>
  <c r="F81" i="9"/>
  <c r="G81" i="9"/>
  <c r="H81" i="9"/>
  <c r="I81" i="9"/>
  <c r="J81" i="9"/>
  <c r="K81" i="9"/>
  <c r="L81" i="9"/>
  <c r="E82" i="9"/>
  <c r="F82" i="9"/>
  <c r="G82" i="9"/>
  <c r="H82" i="9"/>
  <c r="I82" i="9"/>
  <c r="J82" i="9"/>
  <c r="K82" i="9"/>
  <c r="L82" i="9"/>
  <c r="E83" i="9"/>
  <c r="F83" i="9"/>
  <c r="G83" i="9"/>
  <c r="H83" i="9"/>
  <c r="I83" i="9"/>
  <c r="J83" i="9"/>
  <c r="K83" i="9"/>
  <c r="L83" i="9"/>
  <c r="E84" i="9"/>
  <c r="F84" i="9"/>
  <c r="G84" i="9"/>
  <c r="H84" i="9"/>
  <c r="I84" i="9"/>
  <c r="J84" i="9"/>
  <c r="K84" i="9"/>
  <c r="L84" i="9"/>
  <c r="E85" i="9"/>
  <c r="F85" i="9"/>
  <c r="G85" i="9"/>
  <c r="H85" i="9"/>
  <c r="I85" i="9"/>
  <c r="J85" i="9"/>
  <c r="K85" i="9"/>
  <c r="L85" i="9"/>
  <c r="E86" i="9"/>
  <c r="F86" i="9"/>
  <c r="G86" i="9"/>
  <c r="H86" i="9"/>
  <c r="I86" i="9"/>
  <c r="J86" i="9"/>
  <c r="K86" i="9"/>
  <c r="L86" i="9"/>
  <c r="D82" i="9"/>
  <c r="D83" i="9"/>
  <c r="D84" i="9"/>
  <c r="D85" i="9"/>
  <c r="D86" i="9"/>
  <c r="D81" i="9"/>
  <c r="E90" i="9"/>
  <c r="F90" i="9"/>
  <c r="G90" i="9"/>
  <c r="H90" i="9"/>
  <c r="I90" i="9"/>
  <c r="J90" i="9"/>
  <c r="K90" i="9"/>
  <c r="L90" i="9"/>
  <c r="E91" i="9"/>
  <c r="F91" i="9"/>
  <c r="G91" i="9"/>
  <c r="H91" i="9"/>
  <c r="I91" i="9"/>
  <c r="J91" i="9"/>
  <c r="K91" i="9"/>
  <c r="L91" i="9"/>
  <c r="E92" i="9"/>
  <c r="F92" i="9"/>
  <c r="G92" i="9"/>
  <c r="H92" i="9"/>
  <c r="I92" i="9"/>
  <c r="J92" i="9"/>
  <c r="K92" i="9"/>
  <c r="L92" i="9"/>
  <c r="E93" i="9"/>
  <c r="F93" i="9"/>
  <c r="G93" i="9"/>
  <c r="H93" i="9"/>
  <c r="I93" i="9"/>
  <c r="J93" i="9"/>
  <c r="K93" i="9"/>
  <c r="L93" i="9"/>
  <c r="E94" i="9"/>
  <c r="F94" i="9"/>
  <c r="G94" i="9"/>
  <c r="H94" i="9"/>
  <c r="I94" i="9"/>
  <c r="J94" i="9"/>
  <c r="K94" i="9"/>
  <c r="L94" i="9"/>
  <c r="E95" i="9"/>
  <c r="F95" i="9"/>
  <c r="G95" i="9"/>
  <c r="H95" i="9"/>
  <c r="I95" i="9"/>
  <c r="J95" i="9"/>
  <c r="K95" i="9"/>
  <c r="L95" i="9"/>
  <c r="E96" i="9"/>
  <c r="F96" i="9"/>
  <c r="G96" i="9"/>
  <c r="H96" i="9"/>
  <c r="I96" i="9"/>
  <c r="J96" i="9"/>
  <c r="K96" i="9"/>
  <c r="L96" i="9"/>
  <c r="E97" i="9"/>
  <c r="F97" i="9"/>
  <c r="G97" i="9"/>
  <c r="H97" i="9"/>
  <c r="I97" i="9"/>
  <c r="J97" i="9"/>
  <c r="K97" i="9"/>
  <c r="L97" i="9"/>
  <c r="E98" i="9"/>
  <c r="F98" i="9"/>
  <c r="G98" i="9"/>
  <c r="H98" i="9"/>
  <c r="I98" i="9"/>
  <c r="J98" i="9"/>
  <c r="K98" i="9"/>
  <c r="L98" i="9"/>
  <c r="E99" i="9"/>
  <c r="F99" i="9"/>
  <c r="G99" i="9"/>
  <c r="H99" i="9"/>
  <c r="I99" i="9"/>
  <c r="J99" i="9"/>
  <c r="K99" i="9"/>
  <c r="L99" i="9"/>
  <c r="E100" i="9"/>
  <c r="F100" i="9"/>
  <c r="G100" i="9"/>
  <c r="H100" i="9"/>
  <c r="I100" i="9"/>
  <c r="J100" i="9"/>
  <c r="K100" i="9"/>
  <c r="L100" i="9"/>
  <c r="D91" i="9"/>
  <c r="D92" i="9"/>
  <c r="D93" i="9"/>
  <c r="D94" i="9"/>
  <c r="D95" i="9"/>
  <c r="D96" i="9"/>
  <c r="D97" i="9"/>
  <c r="D98" i="9"/>
  <c r="D99" i="9"/>
  <c r="D100" i="9"/>
  <c r="D90" i="9"/>
  <c r="E65" i="9"/>
  <c r="F65" i="9"/>
  <c r="G65" i="9"/>
  <c r="H65" i="9"/>
  <c r="I65" i="9"/>
  <c r="J65" i="9"/>
  <c r="K65" i="9"/>
  <c r="L65" i="9"/>
  <c r="E66" i="9"/>
  <c r="F66" i="9"/>
  <c r="G66" i="9"/>
  <c r="H66" i="9"/>
  <c r="I66" i="9"/>
  <c r="J66" i="9"/>
  <c r="K66" i="9"/>
  <c r="L66" i="9"/>
  <c r="E67" i="9"/>
  <c r="F67" i="9"/>
  <c r="G67" i="9"/>
  <c r="H67" i="9"/>
  <c r="I67" i="9"/>
  <c r="J67" i="9"/>
  <c r="K67" i="9"/>
  <c r="L67" i="9"/>
  <c r="D66" i="9"/>
  <c r="D67" i="9"/>
  <c r="D65" i="9"/>
  <c r="B66" i="9"/>
  <c r="B67" i="9"/>
  <c r="B65" i="9"/>
  <c r="E59" i="9"/>
  <c r="F59" i="9"/>
  <c r="G59" i="9"/>
  <c r="H59" i="9"/>
  <c r="I59" i="9"/>
  <c r="J59" i="9"/>
  <c r="K59" i="9"/>
  <c r="L59" i="9"/>
  <c r="D59" i="9"/>
  <c r="B59" i="9"/>
  <c r="E60" i="9"/>
  <c r="F60" i="9"/>
  <c r="G60" i="9"/>
  <c r="H60" i="9"/>
  <c r="I60" i="9"/>
  <c r="J60" i="9"/>
  <c r="K60" i="9"/>
  <c r="L60" i="9"/>
  <c r="E61" i="9"/>
  <c r="F61" i="9"/>
  <c r="G61" i="9"/>
  <c r="H61" i="9"/>
  <c r="I61" i="9"/>
  <c r="J61" i="9"/>
  <c r="K61" i="9"/>
  <c r="L61" i="9"/>
  <c r="D61" i="9"/>
  <c r="D60" i="9"/>
  <c r="B61" i="9"/>
  <c r="B62" i="9"/>
  <c r="B60" i="9"/>
  <c r="E53" i="9"/>
  <c r="F53" i="9"/>
  <c r="G53" i="9"/>
  <c r="H53" i="9"/>
  <c r="I53" i="9"/>
  <c r="J53" i="9"/>
  <c r="K53" i="9"/>
  <c r="L53" i="9"/>
  <c r="E54" i="9"/>
  <c r="F54" i="9"/>
  <c r="G54" i="9"/>
  <c r="H54" i="9"/>
  <c r="I54" i="9"/>
  <c r="J54" i="9"/>
  <c r="K54" i="9"/>
  <c r="L54" i="9"/>
  <c r="E55" i="9"/>
  <c r="F55" i="9"/>
  <c r="G55" i="9"/>
  <c r="H55" i="9"/>
  <c r="I55" i="9"/>
  <c r="J55" i="9"/>
  <c r="K55" i="9"/>
  <c r="L55" i="9"/>
  <c r="E56" i="9"/>
  <c r="F56" i="9"/>
  <c r="G56" i="9"/>
  <c r="H56" i="9"/>
  <c r="I56" i="9"/>
  <c r="J56" i="9"/>
  <c r="K56" i="9"/>
  <c r="L56" i="9"/>
  <c r="E57" i="9"/>
  <c r="F57" i="9"/>
  <c r="G57" i="9"/>
  <c r="H57" i="9"/>
  <c r="I57" i="9"/>
  <c r="J57" i="9"/>
  <c r="K57" i="9"/>
  <c r="L57" i="9"/>
  <c r="D54" i="9"/>
  <c r="D55" i="9"/>
  <c r="D56" i="9"/>
  <c r="D57" i="9"/>
  <c r="D53" i="9"/>
  <c r="B54" i="9"/>
  <c r="B55" i="9"/>
  <c r="B56" i="9"/>
  <c r="B53" i="9"/>
  <c r="L42" i="9"/>
  <c r="K42" i="9"/>
  <c r="J42" i="9"/>
  <c r="I42" i="9"/>
  <c r="H42" i="9"/>
  <c r="G42" i="9"/>
  <c r="F42" i="9"/>
  <c r="E42" i="9"/>
  <c r="E47" i="9" s="1"/>
  <c r="D42" i="9"/>
  <c r="D47" i="9" s="1"/>
  <c r="L36" i="9"/>
  <c r="K36" i="9"/>
  <c r="J36" i="9"/>
  <c r="I36" i="9"/>
  <c r="H36" i="9"/>
  <c r="G36" i="9"/>
  <c r="F36" i="9"/>
  <c r="E36" i="9"/>
  <c r="D36" i="9"/>
  <c r="L30" i="9"/>
  <c r="K30" i="9"/>
  <c r="J30" i="9"/>
  <c r="I30" i="9"/>
  <c r="H30" i="9"/>
  <c r="G30" i="9"/>
  <c r="F30" i="9"/>
  <c r="E30" i="9"/>
  <c r="D30" i="9"/>
  <c r="L27" i="9"/>
  <c r="K27" i="9"/>
  <c r="J27" i="9"/>
  <c r="I27" i="9"/>
  <c r="H27" i="9"/>
  <c r="G27" i="9"/>
  <c r="F27" i="9"/>
  <c r="E27" i="9"/>
  <c r="D27" i="9"/>
  <c r="L21" i="9"/>
  <c r="K21" i="9"/>
  <c r="J21" i="9"/>
  <c r="I21" i="9"/>
  <c r="H21" i="9"/>
  <c r="G21" i="9"/>
  <c r="F21" i="9"/>
  <c r="E21" i="9"/>
  <c r="D21" i="9"/>
  <c r="E15" i="9"/>
  <c r="F15" i="9"/>
  <c r="G15" i="9"/>
  <c r="H15" i="9"/>
  <c r="I15" i="9"/>
  <c r="J15" i="9"/>
  <c r="K15" i="9"/>
  <c r="L15" i="9"/>
  <c r="D15" i="9"/>
  <c r="E12" i="9"/>
  <c r="F12" i="9"/>
  <c r="C68" i="25" s="1"/>
  <c r="C71" i="25" s="1"/>
  <c r="G12" i="9"/>
  <c r="D68" i="25" s="1"/>
  <c r="D71" i="25" s="1"/>
  <c r="H12" i="9"/>
  <c r="I12" i="9"/>
  <c r="F68" i="25" s="1"/>
  <c r="F71" i="25" s="1"/>
  <c r="J12" i="9"/>
  <c r="G68" i="25" s="1"/>
  <c r="G71" i="25" s="1"/>
  <c r="K12" i="9"/>
  <c r="H68" i="25" s="1"/>
  <c r="H71" i="25" s="1"/>
  <c r="L12" i="9"/>
  <c r="D12" i="9"/>
  <c r="E9" i="9"/>
  <c r="F9" i="9"/>
  <c r="G9" i="9"/>
  <c r="H9" i="9"/>
  <c r="I9" i="9"/>
  <c r="J9" i="9"/>
  <c r="K9" i="9"/>
  <c r="L9" i="9"/>
  <c r="D9" i="9"/>
  <c r="B8" i="9"/>
  <c r="B1" i="9"/>
  <c r="D16" i="9" l="1"/>
  <c r="D62" i="9"/>
  <c r="D40" i="12" s="1"/>
  <c r="E87" i="9"/>
  <c r="I112" i="9"/>
  <c r="H112" i="9"/>
  <c r="F90" i="25"/>
  <c r="F93" i="25" s="1"/>
  <c r="L47" i="9"/>
  <c r="G90" i="25"/>
  <c r="G93" i="25" s="1"/>
  <c r="C90" i="25"/>
  <c r="C93" i="25" s="1"/>
  <c r="F47" i="9"/>
  <c r="F16" i="11" s="1"/>
  <c r="G47" i="9"/>
  <c r="H60" i="25"/>
  <c r="H66" i="25" s="1"/>
  <c r="H82" i="25" s="1"/>
  <c r="H88" i="25" s="1"/>
  <c r="H65" i="29"/>
  <c r="G60" i="25"/>
  <c r="G66" i="25" s="1"/>
  <c r="G82" i="25" s="1"/>
  <c r="G88" i="25" s="1"/>
  <c r="G65" i="29"/>
  <c r="C60" i="25"/>
  <c r="C66" i="25" s="1"/>
  <c r="C82" i="25" s="1"/>
  <c r="C88" i="25" s="1"/>
  <c r="C65" i="29"/>
  <c r="H47" i="9"/>
  <c r="D90" i="25"/>
  <c r="D93" i="25" s="1"/>
  <c r="F60" i="25"/>
  <c r="F66" i="25" s="1"/>
  <c r="F82" i="25" s="1"/>
  <c r="F88" i="25" s="1"/>
  <c r="F65" i="29"/>
  <c r="D60" i="25"/>
  <c r="D66" i="25" s="1"/>
  <c r="D82" i="25" s="1"/>
  <c r="D88" i="25" s="1"/>
  <c r="D65" i="29"/>
  <c r="I47" i="9"/>
  <c r="H90" i="25"/>
  <c r="H93" i="25" s="1"/>
  <c r="I60" i="25"/>
  <c r="I66" i="25" s="1"/>
  <c r="I82" i="25" s="1"/>
  <c r="I88" i="25" s="1"/>
  <c r="I65" i="29"/>
  <c r="D8" i="7"/>
  <c r="E68" i="25"/>
  <c r="E71" i="25" s="1"/>
  <c r="J47" i="9"/>
  <c r="E60" i="25"/>
  <c r="E66" i="25" s="1"/>
  <c r="E82" i="25" s="1"/>
  <c r="E88" i="25" s="1"/>
  <c r="E65" i="29"/>
  <c r="M13" i="9"/>
  <c r="M12" i="11" s="1"/>
  <c r="I68" i="25"/>
  <c r="I71" i="25" s="1"/>
  <c r="K47" i="9"/>
  <c r="E45" i="11"/>
  <c r="E47" i="11"/>
  <c r="D34" i="11"/>
  <c r="D35" i="11"/>
  <c r="D36" i="11"/>
  <c r="D37" i="11"/>
  <c r="D38" i="11"/>
  <c r="L35" i="11"/>
  <c r="L41" i="11" s="1"/>
  <c r="L34" i="11"/>
  <c r="L40" i="11" s="1"/>
  <c r="L36" i="11"/>
  <c r="L42" i="11" s="1"/>
  <c r="L37" i="11"/>
  <c r="L38" i="11"/>
  <c r="K112" i="9"/>
  <c r="H8" i="7"/>
  <c r="K36" i="11"/>
  <c r="K42" i="11" s="1"/>
  <c r="K37" i="11"/>
  <c r="K38" i="11"/>
  <c r="K34" i="11"/>
  <c r="K40" i="11" s="1"/>
  <c r="K35" i="11"/>
  <c r="K41" i="11" s="1"/>
  <c r="J36" i="11"/>
  <c r="J42" i="11" s="1"/>
  <c r="J37" i="11"/>
  <c r="J35" i="11"/>
  <c r="J41" i="11" s="1"/>
  <c r="J38" i="11"/>
  <c r="J34" i="11"/>
  <c r="J40" i="11" s="1"/>
  <c r="G8" i="7"/>
  <c r="I37" i="11"/>
  <c r="I38" i="11"/>
  <c r="I34" i="11"/>
  <c r="I40" i="11" s="1"/>
  <c r="I35" i="11"/>
  <c r="I41" i="11" s="1"/>
  <c r="I36" i="11"/>
  <c r="I42" i="11" s="1"/>
  <c r="F8" i="7"/>
  <c r="G112" i="9"/>
  <c r="E8" i="7"/>
  <c r="H37" i="11"/>
  <c r="H38" i="11"/>
  <c r="H34" i="11"/>
  <c r="H40" i="11" s="1"/>
  <c r="H36" i="11"/>
  <c r="H42" i="11" s="1"/>
  <c r="H35" i="11"/>
  <c r="H41" i="11" s="1"/>
  <c r="G38" i="11"/>
  <c r="G34" i="11"/>
  <c r="G40" i="11" s="1"/>
  <c r="G35" i="11"/>
  <c r="G41" i="11" s="1"/>
  <c r="G36" i="11"/>
  <c r="G42" i="11" s="1"/>
  <c r="G37" i="11"/>
  <c r="J112" i="9"/>
  <c r="F112" i="9"/>
  <c r="F38" i="11"/>
  <c r="F34" i="11"/>
  <c r="F40" i="11" s="1"/>
  <c r="F37" i="11"/>
  <c r="F35" i="11"/>
  <c r="F41" i="11" s="1"/>
  <c r="F36" i="11"/>
  <c r="F42" i="11" s="1"/>
  <c r="E16" i="11"/>
  <c r="G87" i="9"/>
  <c r="E112" i="9"/>
  <c r="E34" i="11"/>
  <c r="E40" i="11" s="1"/>
  <c r="E35" i="11"/>
  <c r="E41" i="11" s="1"/>
  <c r="E36" i="11"/>
  <c r="E42" i="11" s="1"/>
  <c r="E37" i="11"/>
  <c r="E38" i="11"/>
  <c r="F87" i="9"/>
  <c r="D112" i="9"/>
  <c r="L112" i="9"/>
  <c r="I87" i="9"/>
  <c r="J87" i="9"/>
  <c r="K101" i="9"/>
  <c r="L87" i="9"/>
  <c r="L101" i="9"/>
  <c r="K87" i="9"/>
  <c r="J101" i="9"/>
  <c r="G101" i="9"/>
  <c r="D101" i="9"/>
  <c r="F101" i="9"/>
  <c r="E101" i="9"/>
  <c r="I101" i="9"/>
  <c r="H87" i="9"/>
  <c r="H101" i="9"/>
  <c r="D87" i="9"/>
  <c r="D63" i="9"/>
  <c r="G13" i="9"/>
  <c r="G12" i="11" s="1"/>
  <c r="F28" i="9"/>
  <c r="J68" i="9"/>
  <c r="F13" i="9"/>
  <c r="F12" i="11" s="1"/>
  <c r="I62" i="9"/>
  <c r="H68" i="9"/>
  <c r="G62" i="9"/>
  <c r="E62" i="9"/>
  <c r="K68" i="9"/>
  <c r="H62" i="9"/>
  <c r="K18" i="9"/>
  <c r="K19" i="9" s="1"/>
  <c r="D68" i="9"/>
  <c r="F68" i="9"/>
  <c r="E68" i="9"/>
  <c r="L68" i="9"/>
  <c r="L62" i="9"/>
  <c r="K62" i="9"/>
  <c r="H18" i="9"/>
  <c r="H24" i="9" s="1"/>
  <c r="F62" i="9"/>
  <c r="J18" i="9"/>
  <c r="J19" i="9" s="1"/>
  <c r="H22" i="9"/>
  <c r="H24" i="11" s="1"/>
  <c r="G68" i="9"/>
  <c r="G18" i="9"/>
  <c r="G24" i="9" s="1"/>
  <c r="E28" i="9"/>
  <c r="I68" i="9"/>
  <c r="J62" i="9"/>
  <c r="H31" i="9"/>
  <c r="H25" i="11" s="1"/>
  <c r="I31" i="9"/>
  <c r="I25" i="11" s="1"/>
  <c r="D31" i="9"/>
  <c r="D25" i="11" s="1"/>
  <c r="L16" i="9"/>
  <c r="E22" i="9"/>
  <c r="E24" i="11" s="1"/>
  <c r="G16" i="9"/>
  <c r="K28" i="9"/>
  <c r="J28" i="9"/>
  <c r="K22" i="9"/>
  <c r="K24" i="11" s="1"/>
  <c r="I18" i="9"/>
  <c r="I19" i="9" s="1"/>
  <c r="E31" i="9"/>
  <c r="E25" i="11" s="1"/>
  <c r="E18" i="9"/>
  <c r="E24" i="9" s="1"/>
  <c r="C105" i="6" s="1"/>
  <c r="E16" i="9"/>
  <c r="J31" i="9"/>
  <c r="J25" i="11" s="1"/>
  <c r="K31" i="9"/>
  <c r="K25" i="11" s="1"/>
  <c r="L13" i="9"/>
  <c r="D18" i="9"/>
  <c r="D28" i="9"/>
  <c r="I28" i="9"/>
  <c r="H16" i="9"/>
  <c r="F22" i="9"/>
  <c r="F24" i="11" s="1"/>
  <c r="D22" i="9"/>
  <c r="D24" i="11" s="1"/>
  <c r="J16" i="9"/>
  <c r="I16" i="9"/>
  <c r="G22" i="9"/>
  <c r="G24" i="11" s="1"/>
  <c r="G28" i="9"/>
  <c r="F31" i="9"/>
  <c r="F25" i="11" s="1"/>
  <c r="K16" i="9"/>
  <c r="F16" i="9"/>
  <c r="G31" i="9"/>
  <c r="G25" i="11" s="1"/>
  <c r="K13" i="9"/>
  <c r="I22" i="9"/>
  <c r="I24" i="11" s="1"/>
  <c r="J13" i="9"/>
  <c r="J22" i="9"/>
  <c r="J24" i="11" s="1"/>
  <c r="H13" i="9"/>
  <c r="I13" i="9"/>
  <c r="F18" i="9"/>
  <c r="L22" i="9"/>
  <c r="L24" i="11" s="1"/>
  <c r="H28" i="9"/>
  <c r="L31" i="9"/>
  <c r="L25" i="11" s="1"/>
  <c r="L28" i="9"/>
  <c r="E13" i="9"/>
  <c r="E12" i="11" s="1"/>
  <c r="L18" i="9"/>
  <c r="I16" i="11" l="1"/>
  <c r="K16" i="11"/>
  <c r="H114" i="9"/>
  <c r="L16" i="11"/>
  <c r="P36" i="11"/>
  <c r="F43" i="11"/>
  <c r="H43" i="11"/>
  <c r="I114" i="9"/>
  <c r="L114" i="9"/>
  <c r="J18" i="11"/>
  <c r="F10" i="7"/>
  <c r="P35" i="11"/>
  <c r="G17" i="7"/>
  <c r="F16" i="7"/>
  <c r="G16" i="11"/>
  <c r="D17" i="7"/>
  <c r="P34" i="11"/>
  <c r="E90" i="25"/>
  <c r="E93" i="25" s="1"/>
  <c r="I77" i="29"/>
  <c r="I83" i="29"/>
  <c r="I71" i="29"/>
  <c r="I89" i="29" s="1"/>
  <c r="I95" i="29" s="1"/>
  <c r="F77" i="29"/>
  <c r="F83" i="29"/>
  <c r="F71" i="29"/>
  <c r="F89" i="29" s="1"/>
  <c r="F95" i="29" s="1"/>
  <c r="F105" i="6"/>
  <c r="D22" i="7" s="1"/>
  <c r="E78" i="29"/>
  <c r="E80" i="29" s="1"/>
  <c r="H16" i="11"/>
  <c r="E17" i="7"/>
  <c r="D16" i="7"/>
  <c r="C77" i="29"/>
  <c r="C71" i="29"/>
  <c r="C89" i="29" s="1"/>
  <c r="C95" i="29" s="1"/>
  <c r="C83" i="29"/>
  <c r="H17" i="7"/>
  <c r="G16" i="7"/>
  <c r="I90" i="25"/>
  <c r="I93" i="25" s="1"/>
  <c r="G77" i="29"/>
  <c r="G71" i="29"/>
  <c r="G89" i="29" s="1"/>
  <c r="G95" i="29" s="1"/>
  <c r="G83" i="29"/>
  <c r="P25" i="11"/>
  <c r="P24" i="11"/>
  <c r="I18" i="11"/>
  <c r="E10" i="7"/>
  <c r="J16" i="11"/>
  <c r="F17" i="7"/>
  <c r="E16" i="7"/>
  <c r="H16" i="7"/>
  <c r="M16" i="11"/>
  <c r="E105" i="6"/>
  <c r="D78" i="29"/>
  <c r="D80" i="29" s="1"/>
  <c r="K18" i="11"/>
  <c r="G10" i="7"/>
  <c r="P38" i="11"/>
  <c r="E77" i="29"/>
  <c r="E71" i="29"/>
  <c r="E89" i="29" s="1"/>
  <c r="E95" i="29" s="1"/>
  <c r="E83" i="29"/>
  <c r="D77" i="29"/>
  <c r="D71" i="29"/>
  <c r="D89" i="29" s="1"/>
  <c r="D95" i="29" s="1"/>
  <c r="D83" i="29"/>
  <c r="H77" i="29"/>
  <c r="H83" i="29"/>
  <c r="H71" i="29"/>
  <c r="H89" i="29" s="1"/>
  <c r="H95" i="29" s="1"/>
  <c r="P37" i="11"/>
  <c r="G43" i="11"/>
  <c r="J43" i="11"/>
  <c r="G9" i="7"/>
  <c r="K12" i="11"/>
  <c r="I47" i="11"/>
  <c r="I45" i="11"/>
  <c r="E63" i="9"/>
  <c r="E70" i="9" s="1"/>
  <c r="E40" i="12"/>
  <c r="Q38" i="11"/>
  <c r="Q37" i="11"/>
  <c r="D42" i="11"/>
  <c r="P42" i="11" s="1"/>
  <c r="Q36" i="11"/>
  <c r="Q25" i="11"/>
  <c r="K63" i="9"/>
  <c r="K40" i="12"/>
  <c r="I63" i="9"/>
  <c r="I40" i="12"/>
  <c r="D114" i="9"/>
  <c r="D41" i="11"/>
  <c r="P41" i="11" s="1"/>
  <c r="Q35" i="11"/>
  <c r="G39" i="21"/>
  <c r="H13" i="11"/>
  <c r="H32" i="11"/>
  <c r="L63" i="9"/>
  <c r="L40" i="12"/>
  <c r="F47" i="11"/>
  <c r="F45" i="11"/>
  <c r="K114" i="9"/>
  <c r="D40" i="11"/>
  <c r="P40" i="11" s="1"/>
  <c r="Q34" i="11"/>
  <c r="F114" i="9"/>
  <c r="H9" i="7"/>
  <c r="L12" i="11"/>
  <c r="K47" i="11"/>
  <c r="K45" i="11"/>
  <c r="J114" i="9"/>
  <c r="G114" i="9"/>
  <c r="G45" i="11"/>
  <c r="G47" i="11"/>
  <c r="Q24" i="11"/>
  <c r="L47" i="11"/>
  <c r="L45" i="11"/>
  <c r="K43" i="11"/>
  <c r="F63" i="9"/>
  <c r="F40" i="12"/>
  <c r="E9" i="7"/>
  <c r="I12" i="11"/>
  <c r="E32" i="11"/>
  <c r="J63" i="9"/>
  <c r="J70" i="9" s="1"/>
  <c r="J72" i="9" s="1"/>
  <c r="J40" i="12"/>
  <c r="D9" i="7"/>
  <c r="H12" i="11"/>
  <c r="J12" i="11"/>
  <c r="F9" i="7"/>
  <c r="G33" i="9"/>
  <c r="G39" i="9" s="1"/>
  <c r="D61" i="25" s="1"/>
  <c r="G32" i="11"/>
  <c r="D45" i="11"/>
  <c r="D47" i="11"/>
  <c r="E43" i="11"/>
  <c r="H47" i="11"/>
  <c r="H45" i="11"/>
  <c r="G63" i="9"/>
  <c r="G40" i="12"/>
  <c r="H63" i="9"/>
  <c r="H70" i="9" s="1"/>
  <c r="H72" i="9" s="1"/>
  <c r="H40" i="12"/>
  <c r="J47" i="11"/>
  <c r="J45" i="11"/>
  <c r="E114" i="9"/>
  <c r="I43" i="11"/>
  <c r="L43" i="11"/>
  <c r="D70" i="9"/>
  <c r="K24" i="9"/>
  <c r="J24" i="9"/>
  <c r="K70" i="9"/>
  <c r="K72" i="9" s="1"/>
  <c r="G19" i="9"/>
  <c r="G18" i="11" s="1"/>
  <c r="G25" i="9"/>
  <c r="E19" i="9"/>
  <c r="E18" i="11" s="1"/>
  <c r="H19" i="9"/>
  <c r="I24" i="9"/>
  <c r="D24" i="9"/>
  <c r="D19" i="9"/>
  <c r="D18" i="11" s="1"/>
  <c r="F24" i="9"/>
  <c r="G13" i="11" s="1"/>
  <c r="F19" i="9"/>
  <c r="F18" i="11" s="1"/>
  <c r="E25" i="9"/>
  <c r="E33" i="9"/>
  <c r="L19" i="9"/>
  <c r="L24" i="9"/>
  <c r="H33" i="9"/>
  <c r="D12" i="7" s="1"/>
  <c r="H25" i="9"/>
  <c r="D11" i="7" s="1"/>
  <c r="Q16" i="11" l="1"/>
  <c r="P45" i="11"/>
  <c r="F72" i="25"/>
  <c r="D72" i="25"/>
  <c r="D75" i="25" s="1"/>
  <c r="D77" i="25" s="1"/>
  <c r="P12" i="11"/>
  <c r="P16" i="11"/>
  <c r="H72" i="25"/>
  <c r="H73" i="25" s="1"/>
  <c r="H18" i="11"/>
  <c r="Q18" i="11" s="1"/>
  <c r="D10" i="7"/>
  <c r="F70" i="9"/>
  <c r="F72" i="9" s="1"/>
  <c r="C72" i="25"/>
  <c r="J46" i="11"/>
  <c r="L18" i="11"/>
  <c r="H10" i="7"/>
  <c r="D105" i="6"/>
  <c r="C78" i="29"/>
  <c r="C80" i="29" s="1"/>
  <c r="E72" i="25"/>
  <c r="F75" i="25"/>
  <c r="F77" i="25" s="1"/>
  <c r="F84" i="25"/>
  <c r="F94" i="25" s="1"/>
  <c r="F95" i="25" s="1"/>
  <c r="F73" i="25"/>
  <c r="D84" i="25"/>
  <c r="D94" i="25" s="1"/>
  <c r="D95" i="25" s="1"/>
  <c r="D73" i="25"/>
  <c r="H75" i="25"/>
  <c r="H77" i="25" s="1"/>
  <c r="J105" i="6"/>
  <c r="H22" i="7" s="1"/>
  <c r="I78" i="29"/>
  <c r="I80" i="29" s="1"/>
  <c r="M13" i="11"/>
  <c r="D63" i="25"/>
  <c r="D67" i="25"/>
  <c r="H105" i="6"/>
  <c r="F22" i="7" s="1"/>
  <c r="G78" i="29"/>
  <c r="G80" i="29" s="1"/>
  <c r="I105" i="6"/>
  <c r="G22" i="7" s="1"/>
  <c r="H78" i="29"/>
  <c r="H80" i="29" s="1"/>
  <c r="D32" i="11"/>
  <c r="B105" i="6"/>
  <c r="G72" i="25"/>
  <c r="G70" i="9"/>
  <c r="G72" i="9" s="1"/>
  <c r="L70" i="9"/>
  <c r="L72" i="9" s="1"/>
  <c r="I72" i="25"/>
  <c r="G105" i="6"/>
  <c r="E22" i="7" s="1"/>
  <c r="F78" i="29"/>
  <c r="F80" i="29" s="1"/>
  <c r="K33" i="9"/>
  <c r="G12" i="7" s="1"/>
  <c r="K25" i="9"/>
  <c r="G11" i="7" s="1"/>
  <c r="I70" i="9"/>
  <c r="I72" i="9" s="1"/>
  <c r="P47" i="11"/>
  <c r="Q12" i="11"/>
  <c r="E72" i="9"/>
  <c r="E46" i="11"/>
  <c r="G20" i="11"/>
  <c r="G26" i="11" s="1"/>
  <c r="I25" i="9"/>
  <c r="E11" i="7" s="1"/>
  <c r="H39" i="21"/>
  <c r="I32" i="11"/>
  <c r="I13" i="11"/>
  <c r="K46" i="11"/>
  <c r="J25" i="9"/>
  <c r="F11" i="7" s="1"/>
  <c r="I39" i="21"/>
  <c r="J32" i="11"/>
  <c r="J13" i="11"/>
  <c r="J39" i="21"/>
  <c r="K32" i="11"/>
  <c r="K13" i="11"/>
  <c r="G49" i="21"/>
  <c r="G51" i="21" s="1"/>
  <c r="G41" i="21"/>
  <c r="H46" i="11"/>
  <c r="E20" i="11"/>
  <c r="E26" i="11" s="1"/>
  <c r="Q42" i="11"/>
  <c r="H20" i="11"/>
  <c r="H26" i="11" s="1"/>
  <c r="H14" i="11"/>
  <c r="K39" i="21"/>
  <c r="L13" i="11"/>
  <c r="L32" i="11"/>
  <c r="G28" i="11"/>
  <c r="G19" i="11"/>
  <c r="E13" i="11"/>
  <c r="G37" i="9"/>
  <c r="G34" i="9"/>
  <c r="G21" i="11" s="1"/>
  <c r="H19" i="11"/>
  <c r="H28" i="11"/>
  <c r="Q47" i="11"/>
  <c r="Q40" i="11"/>
  <c r="Q41" i="11"/>
  <c r="D43" i="11"/>
  <c r="P43" i="11" s="1"/>
  <c r="E28" i="11"/>
  <c r="E19" i="11"/>
  <c r="F32" i="11"/>
  <c r="F13" i="11"/>
  <c r="Q45" i="11"/>
  <c r="D72" i="9"/>
  <c r="D46" i="11"/>
  <c r="J33" i="9"/>
  <c r="J37" i="9" s="1"/>
  <c r="I33" i="9"/>
  <c r="D33" i="9"/>
  <c r="D20" i="11" s="1"/>
  <c r="D25" i="9"/>
  <c r="E39" i="9"/>
  <c r="E34" i="9"/>
  <c r="E21" i="11" s="1"/>
  <c r="E37" i="9"/>
  <c r="F33" i="9"/>
  <c r="G14" i="11" s="1"/>
  <c r="F25" i="9"/>
  <c r="L25" i="9"/>
  <c r="H11" i="7" s="1"/>
  <c r="L33" i="9"/>
  <c r="H34" i="9"/>
  <c r="H21" i="11" s="1"/>
  <c r="H37" i="9"/>
  <c r="H39" i="9"/>
  <c r="G40" i="9"/>
  <c r="G44" i="9"/>
  <c r="K37" i="9" l="1"/>
  <c r="J34" i="9"/>
  <c r="J21" i="11" s="1"/>
  <c r="K34" i="9"/>
  <c r="K21" i="11" s="1"/>
  <c r="K39" i="9"/>
  <c r="H61" i="25" s="1"/>
  <c r="H67" i="25" s="1"/>
  <c r="K20" i="11"/>
  <c r="K26" i="11" s="1"/>
  <c r="H84" i="25"/>
  <c r="H94" i="25" s="1"/>
  <c r="H95" i="25" s="1"/>
  <c r="P18" i="11"/>
  <c r="F46" i="11"/>
  <c r="J39" i="9"/>
  <c r="G61" i="25" s="1"/>
  <c r="G63" i="25" s="1"/>
  <c r="I46" i="11"/>
  <c r="L46" i="11"/>
  <c r="P13" i="11"/>
  <c r="G75" i="25"/>
  <c r="G77" i="25" s="1"/>
  <c r="G84" i="25"/>
  <c r="G94" i="25" s="1"/>
  <c r="G95" i="25" s="1"/>
  <c r="G73" i="25"/>
  <c r="H15" i="11"/>
  <c r="E61" i="25"/>
  <c r="I75" i="25"/>
  <c r="I77" i="25" s="1"/>
  <c r="I84" i="25"/>
  <c r="I94" i="25" s="1"/>
  <c r="I95" i="25" s="1"/>
  <c r="I73" i="25"/>
  <c r="P32" i="11"/>
  <c r="C75" i="25"/>
  <c r="C77" i="25" s="1"/>
  <c r="C84" i="25"/>
  <c r="C94" i="25" s="1"/>
  <c r="C95" i="25" s="1"/>
  <c r="C73" i="25"/>
  <c r="I37" i="9"/>
  <c r="E12" i="7"/>
  <c r="G46" i="11"/>
  <c r="K19" i="11"/>
  <c r="K14" i="11"/>
  <c r="F12" i="7"/>
  <c r="K28" i="11"/>
  <c r="E99" i="6"/>
  <c r="E75" i="25"/>
  <c r="E77" i="25" s="1"/>
  <c r="E84" i="25"/>
  <c r="E94" i="25" s="1"/>
  <c r="E95" i="25" s="1"/>
  <c r="E73" i="25"/>
  <c r="H12" i="7"/>
  <c r="M14" i="11"/>
  <c r="D83" i="25"/>
  <c r="D69" i="25"/>
  <c r="D79" i="25" s="1"/>
  <c r="Q32" i="11"/>
  <c r="D19" i="11"/>
  <c r="D28" i="11"/>
  <c r="H49" i="21"/>
  <c r="H51" i="21" s="1"/>
  <c r="H55" i="21" s="1"/>
  <c r="H41" i="21"/>
  <c r="H64" i="21" s="1"/>
  <c r="I28" i="11"/>
  <c r="I19" i="11"/>
  <c r="D26" i="11"/>
  <c r="F11" i="20"/>
  <c r="L14" i="11"/>
  <c r="L20" i="11"/>
  <c r="L26" i="11" s="1"/>
  <c r="L19" i="11"/>
  <c r="L28" i="11"/>
  <c r="E14" i="11"/>
  <c r="I49" i="21"/>
  <c r="I51" i="21" s="1"/>
  <c r="I55" i="21" s="1"/>
  <c r="I63" i="21" s="1"/>
  <c r="I41" i="21"/>
  <c r="I64" i="21" s="1"/>
  <c r="F28" i="11"/>
  <c r="F19" i="11"/>
  <c r="K49" i="21"/>
  <c r="K51" i="21" s="1"/>
  <c r="K55" i="21" s="1"/>
  <c r="K63" i="21" s="1"/>
  <c r="K41" i="21"/>
  <c r="K64" i="21" s="1"/>
  <c r="J49" i="21"/>
  <c r="J51" i="21" s="1"/>
  <c r="J55" i="21" s="1"/>
  <c r="J63" i="21" s="1"/>
  <c r="J41" i="21"/>
  <c r="J64" i="21" s="1"/>
  <c r="Q43" i="11"/>
  <c r="Q13" i="11"/>
  <c r="J20" i="11"/>
  <c r="J26" i="11" s="1"/>
  <c r="J14" i="11"/>
  <c r="J28" i="11"/>
  <c r="J19" i="11"/>
  <c r="F20" i="11"/>
  <c r="F26" i="11" s="1"/>
  <c r="F14" i="11"/>
  <c r="I14" i="11"/>
  <c r="I20" i="11"/>
  <c r="I26" i="11" s="1"/>
  <c r="G22" i="11"/>
  <c r="G30" i="11"/>
  <c r="I39" i="9"/>
  <c r="I34" i="9"/>
  <c r="I21" i="11" s="1"/>
  <c r="G48" i="9"/>
  <c r="G50" i="9" s="1"/>
  <c r="G29" i="11" s="1"/>
  <c r="D34" i="9"/>
  <c r="D21" i="11" s="1"/>
  <c r="D37" i="9"/>
  <c r="D39" i="9"/>
  <c r="E15" i="11" s="1"/>
  <c r="H44" i="9"/>
  <c r="H40" i="9"/>
  <c r="D13" i="7" s="1"/>
  <c r="K44" i="9"/>
  <c r="K40" i="9"/>
  <c r="G13" i="7" s="1"/>
  <c r="F34" i="9"/>
  <c r="F21" i="11" s="1"/>
  <c r="F39" i="9"/>
  <c r="C61" i="25" s="1"/>
  <c r="F37" i="9"/>
  <c r="L37" i="9"/>
  <c r="L39" i="9"/>
  <c r="L34" i="9"/>
  <c r="L21" i="11" s="1"/>
  <c r="E40" i="9"/>
  <c r="E44" i="9"/>
  <c r="C99" i="6" s="1"/>
  <c r="H63" i="25" l="1"/>
  <c r="J40" i="9"/>
  <c r="F13" i="7" s="1"/>
  <c r="K15" i="11"/>
  <c r="J44" i="9"/>
  <c r="P46" i="11"/>
  <c r="G67" i="25"/>
  <c r="Q46" i="11"/>
  <c r="K66" i="21"/>
  <c r="P21" i="11"/>
  <c r="P26" i="11"/>
  <c r="D85" i="25"/>
  <c r="D89" i="25"/>
  <c r="D91" i="25" s="1"/>
  <c r="D97" i="25" s="1"/>
  <c r="F99" i="6"/>
  <c r="D21" i="7" s="1"/>
  <c r="D14" i="7"/>
  <c r="P20" i="11"/>
  <c r="F14" i="7"/>
  <c r="H99" i="6"/>
  <c r="F21" i="7" s="1"/>
  <c r="E67" i="25"/>
  <c r="E63" i="25"/>
  <c r="P14" i="11"/>
  <c r="P19" i="11"/>
  <c r="C63" i="25"/>
  <c r="C67" i="25"/>
  <c r="D72" i="29"/>
  <c r="D74" i="29" s="1"/>
  <c r="D96" i="29" s="1"/>
  <c r="D97" i="29" s="1"/>
  <c r="H83" i="25"/>
  <c r="H69" i="25"/>
  <c r="H79" i="25" s="1"/>
  <c r="M15" i="11"/>
  <c r="I61" i="25"/>
  <c r="P28" i="11"/>
  <c r="I15" i="11"/>
  <c r="F61" i="25"/>
  <c r="I99" i="6"/>
  <c r="G21" i="7" s="1"/>
  <c r="G14" i="7"/>
  <c r="G83" i="25"/>
  <c r="G69" i="25"/>
  <c r="G79" i="25" s="1"/>
  <c r="I40" i="9"/>
  <c r="E13" i="7" s="1"/>
  <c r="J22" i="11"/>
  <c r="J30" i="11"/>
  <c r="Q26" i="11"/>
  <c r="Q20" i="11"/>
  <c r="I66" i="21"/>
  <c r="Q14" i="11"/>
  <c r="F15" i="11"/>
  <c r="G15" i="11"/>
  <c r="J15" i="11"/>
  <c r="Q21" i="11"/>
  <c r="I44" i="9"/>
  <c r="I45" i="9" s="1"/>
  <c r="E15" i="7" s="1"/>
  <c r="G31" i="11"/>
  <c r="H63" i="21"/>
  <c r="H66" i="21" s="1"/>
  <c r="K58" i="21"/>
  <c r="F14" i="20" s="1"/>
  <c r="G14" i="20" s="1"/>
  <c r="H14" i="20" s="1"/>
  <c r="I14" i="20" s="1"/>
  <c r="J14" i="20" s="1"/>
  <c r="K14" i="20" s="1"/>
  <c r="K57" i="21"/>
  <c r="F13" i="20"/>
  <c r="G11" i="20"/>
  <c r="K22" i="11"/>
  <c r="K30" i="11"/>
  <c r="H30" i="11"/>
  <c r="H22" i="11"/>
  <c r="J66" i="21"/>
  <c r="Q28" i="11"/>
  <c r="E30" i="11"/>
  <c r="E22" i="11"/>
  <c r="L15" i="11"/>
  <c r="Q19" i="11"/>
  <c r="E48" i="9"/>
  <c r="E50" i="9" s="1"/>
  <c r="E29" i="11" s="1"/>
  <c r="H48" i="9"/>
  <c r="H50" i="9" s="1"/>
  <c r="H29" i="11" s="1"/>
  <c r="H45" i="9"/>
  <c r="D15" i="7" s="1"/>
  <c r="D44" i="9"/>
  <c r="B99" i="6" s="1"/>
  <c r="D40" i="9"/>
  <c r="K48" i="9"/>
  <c r="K50" i="9" s="1"/>
  <c r="K29" i="11" s="1"/>
  <c r="K45" i="9"/>
  <c r="G15" i="7" s="1"/>
  <c r="J48" i="9"/>
  <c r="J50" i="9" s="1"/>
  <c r="J29" i="11" s="1"/>
  <c r="F40" i="9"/>
  <c r="F44" i="9"/>
  <c r="L40" i="9"/>
  <c r="H13" i="7" s="1"/>
  <c r="L44" i="9"/>
  <c r="I48" i="9" l="1"/>
  <c r="I50" i="9" s="1"/>
  <c r="I29" i="11" s="1"/>
  <c r="G72" i="29"/>
  <c r="G74" i="29" s="1"/>
  <c r="G96" i="29" s="1"/>
  <c r="G97" i="29" s="1"/>
  <c r="I30" i="11"/>
  <c r="P15" i="11"/>
  <c r="J45" i="9"/>
  <c r="F15" i="7" s="1"/>
  <c r="E14" i="7"/>
  <c r="G99" i="6"/>
  <c r="E21" i="7" s="1"/>
  <c r="F72" i="29"/>
  <c r="F74" i="29" s="1"/>
  <c r="F96" i="29" s="1"/>
  <c r="F97" i="29" s="1"/>
  <c r="G85" i="25"/>
  <c r="G89" i="25"/>
  <c r="G91" i="25" s="1"/>
  <c r="G97" i="25" s="1"/>
  <c r="E72" i="29"/>
  <c r="E74" i="29" s="1"/>
  <c r="E96" i="29" s="1"/>
  <c r="E97" i="29" s="1"/>
  <c r="H72" i="29"/>
  <c r="H74" i="29" s="1"/>
  <c r="H96" i="29" s="1"/>
  <c r="H97" i="29" s="1"/>
  <c r="C69" i="25"/>
  <c r="C79" i="25" s="1"/>
  <c r="C83" i="25"/>
  <c r="F63" i="25"/>
  <c r="F67" i="25"/>
  <c r="I22" i="11"/>
  <c r="D99" i="6"/>
  <c r="J99" i="6"/>
  <c r="H21" i="7" s="1"/>
  <c r="H14" i="7"/>
  <c r="M45" i="9"/>
  <c r="F15" i="20"/>
  <c r="H89" i="25"/>
  <c r="H91" i="25" s="1"/>
  <c r="H97" i="25" s="1"/>
  <c r="H85" i="25"/>
  <c r="I63" i="25"/>
  <c r="I67" i="25"/>
  <c r="E83" i="25"/>
  <c r="E69" i="25"/>
  <c r="E79" i="25" s="1"/>
  <c r="E31" i="11"/>
  <c r="H11" i="20"/>
  <c r="G13" i="20"/>
  <c r="G15" i="20" s="1"/>
  <c r="G18" i="20" s="1"/>
  <c r="D30" i="11"/>
  <c r="D22" i="11"/>
  <c r="K68" i="21"/>
  <c r="K69" i="21"/>
  <c r="L22" i="11"/>
  <c r="L30" i="11"/>
  <c r="F30" i="11"/>
  <c r="F22" i="11"/>
  <c r="I31" i="11"/>
  <c r="Q15" i="11"/>
  <c r="J31" i="11"/>
  <c r="H31" i="11"/>
  <c r="K31" i="11"/>
  <c r="D48" i="9"/>
  <c r="D50" i="9" s="1"/>
  <c r="D29" i="11" s="1"/>
  <c r="E45" i="9"/>
  <c r="L48" i="9"/>
  <c r="L50" i="9" s="1"/>
  <c r="L29" i="11" s="1"/>
  <c r="L45" i="9"/>
  <c r="H15" i="7" s="1"/>
  <c r="F48" i="9"/>
  <c r="F50" i="9" s="1"/>
  <c r="F29" i="11" s="1"/>
  <c r="F45" i="9"/>
  <c r="G45" i="9"/>
  <c r="L31" i="11" l="1"/>
  <c r="C89" i="25"/>
  <c r="C91" i="25" s="1"/>
  <c r="C97" i="25" s="1"/>
  <c r="C85" i="25"/>
  <c r="F83" i="25"/>
  <c r="F69" i="25"/>
  <c r="F79" i="25" s="1"/>
  <c r="I83" i="25"/>
  <c r="I69" i="25"/>
  <c r="I79" i="25" s="1"/>
  <c r="P22" i="11"/>
  <c r="P30" i="11"/>
  <c r="P29" i="11"/>
  <c r="C72" i="29"/>
  <c r="C74" i="29" s="1"/>
  <c r="C96" i="29" s="1"/>
  <c r="C97" i="29" s="1"/>
  <c r="I72" i="29"/>
  <c r="I74" i="29" s="1"/>
  <c r="I96" i="29" s="1"/>
  <c r="I97" i="29" s="1"/>
  <c r="E89" i="25"/>
  <c r="E91" i="25" s="1"/>
  <c r="E97" i="25" s="1"/>
  <c r="E85" i="25"/>
  <c r="F31" i="11"/>
  <c r="Q22" i="11"/>
  <c r="Q29" i="11"/>
  <c r="D31" i="11"/>
  <c r="P31" i="11" s="1"/>
  <c r="Q30" i="11"/>
  <c r="I11" i="20"/>
  <c r="H13" i="20"/>
  <c r="H15" i="20" s="1"/>
  <c r="H18" i="20" s="1"/>
  <c r="E3" i="7"/>
  <c r="B1" i="7"/>
  <c r="B6" i="6"/>
  <c r="E1" i="6"/>
  <c r="I89" i="25" l="1"/>
  <c r="I91" i="25" s="1"/>
  <c r="I97" i="25" s="1"/>
  <c r="I85" i="25"/>
  <c r="F85" i="25"/>
  <c r="F89" i="25"/>
  <c r="F91" i="25" s="1"/>
  <c r="F97" i="25" s="1"/>
  <c r="J11" i="20"/>
  <c r="I13" i="20"/>
  <c r="I15" i="20" s="1"/>
  <c r="I18" i="20" s="1"/>
  <c r="Q31" i="11"/>
  <c r="Q35" i="22"/>
  <c r="Q37" i="22" l="1"/>
  <c r="O11" i="23"/>
  <c r="P11" i="23" s="1"/>
  <c r="K11" i="20"/>
  <c r="K13" i="20" s="1"/>
  <c r="K15" i="20" s="1"/>
  <c r="J13" i="20"/>
  <c r="J15" i="20" s="1"/>
  <c r="J18" i="20" s="1"/>
  <c r="K18" i="20" l="1"/>
  <c r="E36" i="20" s="1"/>
  <c r="E27" i="20"/>
  <c r="E31" i="20" s="1"/>
  <c r="E37" i="20" s="1"/>
  <c r="E38" i="20" s="1"/>
  <c r="E42" i="20" l="1"/>
  <c r="E44" i="20" s="1"/>
  <c r="G26" i="20"/>
  <c r="E47" i="20" l="1"/>
  <c r="G35" i="20"/>
</calcChain>
</file>

<file path=xl/sharedStrings.xml><?xml version="1.0" encoding="utf-8"?>
<sst xmlns="http://schemas.openxmlformats.org/spreadsheetml/2006/main" count="1030" uniqueCount="736">
  <si>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</si>
  <si>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</si>
  <si>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</si>
  <si>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</si>
  <si>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</si>
  <si>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</si>
  <si>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</si>
  <si>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</si>
  <si>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</si>
  <si>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</si>
  <si>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</si>
  <si>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</si>
  <si>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</si>
  <si>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</si>
  <si>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</si>
  <si>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</si>
  <si>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</si>
  <si>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</si>
  <si>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</si>
  <si>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</si>
  <si>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</si>
  <si>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</si>
  <si>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</si>
  <si>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</si>
  <si>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</si>
  <si>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</si>
  <si>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</si>
  <si>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</si>
  <si>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</si>
  <si>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</si>
  <si>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</si>
  <si>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Debtor Days</t>
  </si>
  <si>
    <t>Return on Equity</t>
  </si>
  <si>
    <t>LATEST VERSION</t>
  </si>
  <si>
    <t>CURRENT VERSION</t>
  </si>
  <si>
    <t>RELIANCE INDUSTRIES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</si>
  <si>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</si>
  <si>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</si>
  <si>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</si>
  <si>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</si>
  <si>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</si>
  <si>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</si>
  <si>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</si>
  <si>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</si>
  <si>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</si>
  <si>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</si>
  <si>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</si>
  <si>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</si>
  <si>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</si>
  <si>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</si>
  <si>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</si>
  <si>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</si>
  <si>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</si>
  <si>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</si>
  <si>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</si>
  <si>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</si>
  <si>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</si>
  <si>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Descripition</t>
  </si>
  <si>
    <t>Reliance Digital is an Indian consumer electronics retailer. It is a subsidiary of Reliance Retail, a wholly owned subsidiary of Reliance Industries. Reliance Digital opened its first store on 24 April 2007 in Delhi. Currently there are more than 8,600 Reliance Digital and 1,800 My Jio stores in around 800 cities in India in addition to an online presence. The stores are spread across the states of Andhra Pradesh, Delhi, Uttar Pradesh, Gujarat, Karnataka, Kerala, Maharashtra, Tamil Nadu, West Bengal, Telangana, Orissa, Assam, Bihar, and Jharkhand. Reliance Digital Stores are bigger in size than the other format Digital Xpress Mini Stores. It is one of the largest electronics retailers in India with over 5,000 products in its inventory.</t>
  </si>
  <si>
    <t>INR(Crs)</t>
  </si>
  <si>
    <t>Key Financial Metrics</t>
  </si>
  <si>
    <t>Total Sales</t>
  </si>
  <si>
    <t>Sales Growth (y-o-y)</t>
  </si>
  <si>
    <t>(RELIANCE | BSE: 5500325)</t>
  </si>
  <si>
    <t>Years</t>
  </si>
  <si>
    <t>Income Statement</t>
  </si>
  <si>
    <t>#</t>
  </si>
  <si>
    <t>COGS</t>
  </si>
  <si>
    <t>COGS % Sales</t>
  </si>
  <si>
    <t>Gross Profit</t>
  </si>
  <si>
    <t>Gross Margins</t>
  </si>
  <si>
    <t>Selling &amp; General Exp</t>
  </si>
  <si>
    <t>S&amp;G Exp% Sale</t>
  </si>
  <si>
    <t>Interest % Sales</t>
  </si>
  <si>
    <t>Depreciation % Sales</t>
  </si>
  <si>
    <t>EBT</t>
  </si>
  <si>
    <t>EBT Margins</t>
  </si>
  <si>
    <t>Tax Rate</t>
  </si>
  <si>
    <t>Net Income</t>
  </si>
  <si>
    <t xml:space="preserve">Net Margins </t>
  </si>
  <si>
    <t>Earnings Per Equit Shares</t>
  </si>
  <si>
    <t>Divident</t>
  </si>
  <si>
    <t>Divident Payout Ratio</t>
  </si>
  <si>
    <t>Retained Earnings</t>
  </si>
  <si>
    <t>EPS Growth</t>
  </si>
  <si>
    <t>Balance Sheet</t>
  </si>
  <si>
    <t>Total Liabilities</t>
  </si>
  <si>
    <t>Total Assets</t>
  </si>
  <si>
    <t>Total Non Current Assets</t>
  </si>
  <si>
    <t>Total Current Assets</t>
  </si>
  <si>
    <t>Check</t>
  </si>
  <si>
    <t>Cash Flow Statement</t>
  </si>
  <si>
    <t>Profit from operations</t>
  </si>
  <si>
    <t>Payables</t>
  </si>
  <si>
    <t>Working capital changes</t>
  </si>
  <si>
    <t>Direct taxes</t>
  </si>
  <si>
    <t>Fixed assets purchased</t>
  </si>
  <si>
    <t>Fixed assets sold</t>
  </si>
  <si>
    <t>Investments purchased</t>
  </si>
  <si>
    <t>Investments sold</t>
  </si>
  <si>
    <t>Investment income</t>
  </si>
  <si>
    <t>Interest received</t>
  </si>
  <si>
    <t>Dividends received</t>
  </si>
  <si>
    <t>Invest in subsidiaries</t>
  </si>
  <si>
    <t>Loans to subsidiaries</t>
  </si>
  <si>
    <t>Redemp n Canc of Shares</t>
  </si>
  <si>
    <t>Other investing items</t>
  </si>
  <si>
    <t>Proceeds from shares</t>
  </si>
  <si>
    <t>Proceeds from borrowings</t>
  </si>
  <si>
    <t>Repayment of borrowings</t>
  </si>
  <si>
    <t>Interest paid fin</t>
  </si>
  <si>
    <t>Dividends paid</t>
  </si>
  <si>
    <t>Financial liabilities</t>
  </si>
  <si>
    <t>Share application money</t>
  </si>
  <si>
    <t>Other financing items</t>
  </si>
  <si>
    <t>Cash from Operating Activity -</t>
  </si>
  <si>
    <t>Cash from Investing Activity -</t>
  </si>
  <si>
    <t>Cash from Financing Activity -</t>
  </si>
  <si>
    <t>Total Cash from Operating Activity</t>
  </si>
  <si>
    <t>Total Cash from Investing Activity</t>
  </si>
  <si>
    <t>Total Cash from Financing Activity</t>
  </si>
  <si>
    <t>trend</t>
  </si>
  <si>
    <t xml:space="preserve">Mean </t>
  </si>
  <si>
    <t>Median</t>
  </si>
  <si>
    <t>EBITA Growth</t>
  </si>
  <si>
    <t>EBIT Growth</t>
  </si>
  <si>
    <t>Net Profit Growth</t>
  </si>
  <si>
    <t>Divident  Growth</t>
  </si>
  <si>
    <t>Gross Margin</t>
  </si>
  <si>
    <t>EBIT Margin</t>
  </si>
  <si>
    <t>Net Income Margin</t>
  </si>
  <si>
    <t>EBT Margin</t>
  </si>
  <si>
    <t>SaleExp % sales</t>
  </si>
  <si>
    <t>Depreciation % sales</t>
  </si>
  <si>
    <t>Operating Cost % sales</t>
  </si>
  <si>
    <t>EBITDA Margin</t>
  </si>
  <si>
    <t>EBITDA</t>
  </si>
  <si>
    <t>EBITDA Margins</t>
  </si>
  <si>
    <t>Return on Capital Employed</t>
  </si>
  <si>
    <t>Return on Earning</t>
  </si>
  <si>
    <t>Self Sustained Growth Rate</t>
  </si>
  <si>
    <t>Intrest Coverage Ratio</t>
  </si>
  <si>
    <t>Debtor Turnover Ratio</t>
  </si>
  <si>
    <t>Creditor Turnover Ratio</t>
  </si>
  <si>
    <t>Inventory Ratio</t>
  </si>
  <si>
    <t>Fixed Asset Turnover Ratio</t>
  </si>
  <si>
    <t>Capital Turnover Ratio</t>
  </si>
  <si>
    <t>Payable Days</t>
  </si>
  <si>
    <t>Inventory Days</t>
  </si>
  <si>
    <t>Cash Conversion cycle</t>
  </si>
  <si>
    <t>CFO/Sales</t>
  </si>
  <si>
    <t>CFO/Total Assets</t>
  </si>
  <si>
    <t>CFO/ Total Debt</t>
  </si>
  <si>
    <t>Total Liability</t>
  </si>
  <si>
    <t>Year Weight</t>
  </si>
  <si>
    <t>Year</t>
  </si>
  <si>
    <t xml:space="preserve">Sales </t>
  </si>
  <si>
    <t>Date</t>
  </si>
  <si>
    <t>Price</t>
  </si>
  <si>
    <t>Weekly Return</t>
  </si>
  <si>
    <t>Regression Beta - 5 Year</t>
  </si>
  <si>
    <t>NIFTY Returns</t>
  </si>
  <si>
    <t>Beta Drifting</t>
  </si>
  <si>
    <t>Levered Raw Beta</t>
  </si>
  <si>
    <t>Raw Beta Weight</t>
  </si>
  <si>
    <t>Market Beta</t>
  </si>
  <si>
    <t>Market Beta Weight</t>
  </si>
  <si>
    <t>Adjusted Beta</t>
  </si>
  <si>
    <t>Weighted Average Cost of Capital</t>
  </si>
  <si>
    <t>Peer Comps</t>
  </si>
  <si>
    <t>Name</t>
  </si>
  <si>
    <t>Country</t>
  </si>
  <si>
    <t>Total Debt</t>
  </si>
  <si>
    <t>Total Equity</t>
  </si>
  <si>
    <t>Debt/</t>
  </si>
  <si>
    <t>Equity</t>
  </si>
  <si>
    <t>Capital</t>
  </si>
  <si>
    <t>Levered</t>
  </si>
  <si>
    <t>Beta</t>
  </si>
  <si>
    <t>Unlevered</t>
  </si>
  <si>
    <t>S.No.</t>
  </si>
  <si>
    <t>CMP Rs.</t>
  </si>
  <si>
    <t>Mar Cap Rs.Cr.</t>
  </si>
  <si>
    <t>Debt Rs.Cr.</t>
  </si>
  <si>
    <t>Debt / Eq</t>
  </si>
  <si>
    <t>Reliance Industr</t>
  </si>
  <si>
    <t>I O C L</t>
  </si>
  <si>
    <t>B P C L</t>
  </si>
  <si>
    <t>H P C L</t>
  </si>
  <si>
    <t>M R P L</t>
  </si>
  <si>
    <t>India</t>
  </si>
  <si>
    <t>beta</t>
  </si>
  <si>
    <t>nifty</t>
  </si>
  <si>
    <t>bpcl</t>
  </si>
  <si>
    <t>hpcl</t>
  </si>
  <si>
    <t>mrpl</t>
  </si>
  <si>
    <t>Average</t>
  </si>
  <si>
    <t>Cost of Debt</t>
  </si>
  <si>
    <t>Pre-tax Cost of Debt</t>
  </si>
  <si>
    <t xml:space="preserve">After Tax Cost of Debt </t>
  </si>
  <si>
    <t>Cost of Equity</t>
  </si>
  <si>
    <t>Risk Free Rate</t>
  </si>
  <si>
    <t>Equity Risk Premium</t>
  </si>
  <si>
    <t>Levered Beta</t>
  </si>
  <si>
    <t>Capital Structure</t>
  </si>
  <si>
    <t>Target</t>
  </si>
  <si>
    <t>Current</t>
  </si>
  <si>
    <t>Total Capitalization</t>
  </si>
  <si>
    <t>Comps Median Unlevered Beta</t>
  </si>
  <si>
    <t>Target Debt/Equity</t>
  </si>
  <si>
    <t>Debt/Equity</t>
  </si>
  <si>
    <t>Annual</t>
  </si>
  <si>
    <t>Average Return</t>
  </si>
  <si>
    <t>Divident Yield</t>
  </si>
  <si>
    <t>Total Return</t>
  </si>
  <si>
    <r>
      <rPr>
        <sz val="11"/>
        <color theme="1"/>
        <rFont val="Calibri"/>
        <family val="2"/>
        <scheme val="minor"/>
      </rPr>
      <t>1.38%</t>
    </r>
    <r>
      <rPr>
        <vertAlign val="superscript"/>
        <sz val="11"/>
        <color theme="1"/>
        <rFont val="Calibri"/>
        <family val="2"/>
        <scheme val="minor"/>
      </rPr>
      <t>1</t>
    </r>
  </si>
  <si>
    <t xml:space="preserve">Cost OF Equity </t>
  </si>
  <si>
    <t>Weight of Equity</t>
  </si>
  <si>
    <t xml:space="preserve">Cost of Debt </t>
  </si>
  <si>
    <t>Weight Of Debt</t>
  </si>
  <si>
    <t>WACC</t>
  </si>
  <si>
    <t>Calculation of PV of FCFF</t>
  </si>
  <si>
    <t>EBIT</t>
  </si>
  <si>
    <t>EBIT(1-Tax Rate)</t>
  </si>
  <si>
    <t>Calculation of ROIC</t>
  </si>
  <si>
    <t>Equity Capital</t>
  </si>
  <si>
    <t>Borrowings -</t>
  </si>
  <si>
    <t>Long term Borrowings</t>
  </si>
  <si>
    <t>Short term Borrowings</t>
  </si>
  <si>
    <t>Lease Liabilities</t>
  </si>
  <si>
    <t>Other Borrowings</t>
  </si>
  <si>
    <t>Other Liabilities -</t>
  </si>
  <si>
    <t>Non controlling int</t>
  </si>
  <si>
    <t>Trade Payables</t>
  </si>
  <si>
    <t>Other liability items</t>
  </si>
  <si>
    <t>Fixed Assets -</t>
  </si>
  <si>
    <t>Land</t>
  </si>
  <si>
    <t>Building</t>
  </si>
  <si>
    <t>Plant Machinery</t>
  </si>
  <si>
    <t>Ships Vessels</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</si>
  <si>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</si>
  <si>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</si>
  <si>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</si>
  <si>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</si>
  <si>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</si>
  <si>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</si>
  <si>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</si>
  <si>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</si>
  <si>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</si>
  <si>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</si>
  <si>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</si>
  <si>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</si>
  <si>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</si>
  <si>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</si>
  <si>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Current Assets</t>
  </si>
  <si>
    <t>Non Current Assets</t>
  </si>
  <si>
    <t>Net Non Current Assets</t>
  </si>
  <si>
    <t xml:space="preserve">Invested Capital </t>
  </si>
  <si>
    <t>ROIC</t>
  </si>
  <si>
    <t>Calculation of Reinvestment Rate</t>
  </si>
  <si>
    <t>Net Capex</t>
  </si>
  <si>
    <t>Change in Working Capital</t>
  </si>
  <si>
    <t>Marginal Tax Rate</t>
  </si>
  <si>
    <t>EBIT(1-T)</t>
  </si>
  <si>
    <t>Reinvestment</t>
  </si>
  <si>
    <t>Reinvestment Rate</t>
  </si>
  <si>
    <t>Current Liabilities</t>
  </si>
  <si>
    <t>Total Current Liabilities</t>
  </si>
  <si>
    <t>Net Working Capital</t>
  </si>
  <si>
    <t>4 Year Average</t>
  </si>
  <si>
    <t>4 Year Median</t>
  </si>
  <si>
    <t>Calculation of Growth Rate</t>
  </si>
  <si>
    <t>Intrinsic Growth Rate</t>
  </si>
  <si>
    <t>Less: Reinvestment Rate</t>
  </si>
  <si>
    <t>Free Cash Flow To Firm</t>
  </si>
  <si>
    <t>Discounting Factor</t>
  </si>
  <si>
    <t>Expected Growth</t>
  </si>
  <si>
    <t>Terminal Growth</t>
  </si>
  <si>
    <t>PV of FCFF</t>
  </si>
  <si>
    <t>Calculation of Terminal Value</t>
  </si>
  <si>
    <t>FCFF(n+1)</t>
  </si>
  <si>
    <t>Terminal Growth Rate</t>
  </si>
  <si>
    <t>Terminal Value</t>
  </si>
  <si>
    <t>PV of Terminal Value</t>
  </si>
  <si>
    <t>Value of Operating Asset</t>
  </si>
  <si>
    <t>Add: Cash</t>
  </si>
  <si>
    <t>Less: Debt</t>
  </si>
  <si>
    <t>Value of Equity</t>
  </si>
  <si>
    <t>No. of Shares</t>
  </si>
  <si>
    <t>Calculation of Enterprise  Value</t>
  </si>
  <si>
    <t>Equity Value per Share</t>
  </si>
  <si>
    <t>Share price</t>
  </si>
  <si>
    <t>Discount/Premium</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</si>
  <si>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</si>
  <si>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</si>
  <si>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</si>
  <si>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</si>
  <si>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</si>
  <si>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</si>
  <si>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</si>
  <si>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</si>
  <si>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</si>
  <si>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</si>
  <si>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</si>
  <si>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</si>
  <si>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</si>
  <si>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EV/Revenue</t>
  </si>
  <si>
    <t>EV/EBITDA</t>
  </si>
  <si>
    <t>P/E</t>
  </si>
  <si>
    <t xml:space="preserve">Mar Cap Rs.Cr. </t>
  </si>
  <si>
    <t>No. Eq. Shares Cr.</t>
  </si>
  <si>
    <t>Cash End Rs.Cr.</t>
  </si>
  <si>
    <t>EV Rs.Cr.</t>
  </si>
  <si>
    <t>EBIT 12M Rs.Cr.</t>
  </si>
  <si>
    <t>Dep 12M Rs.Cr.</t>
  </si>
  <si>
    <t>NP 12M Rs.Cr.</t>
  </si>
  <si>
    <t>C P C L</t>
  </si>
  <si>
    <t>Rajasthan Gases</t>
  </si>
  <si>
    <t>Resgen</t>
  </si>
  <si>
    <t>Sanmit Infra</t>
  </si>
  <si>
    <t>Cont. Petroleums</t>
  </si>
  <si>
    <t>Sales Rs.Cr.</t>
  </si>
  <si>
    <t>High</t>
  </si>
  <si>
    <t>75th Percentile</t>
  </si>
  <si>
    <t>25th Percentile</t>
  </si>
  <si>
    <t>Low</t>
  </si>
  <si>
    <t>Implied Enterprice value</t>
  </si>
  <si>
    <t>Implied Market  Value</t>
  </si>
  <si>
    <t>Implied Value per Share</t>
  </si>
  <si>
    <t>Sensitivity analysis of Value of Operating Assets</t>
  </si>
  <si>
    <t>Sensitivity analysis of Equity Value per Share</t>
  </si>
  <si>
    <t>Comps</t>
  </si>
  <si>
    <t>DCF Bear</t>
  </si>
  <si>
    <t>DCF Base</t>
  </si>
  <si>
    <t>DCF Bull</t>
  </si>
  <si>
    <t>52W H/L</t>
  </si>
  <si>
    <t xml:space="preserve">Open Low </t>
  </si>
  <si>
    <t>Open High</t>
  </si>
  <si>
    <t>Adj Close</t>
  </si>
  <si>
    <t>Return</t>
  </si>
  <si>
    <t>Sorted Return</t>
  </si>
  <si>
    <t>Historical Approach</t>
  </si>
  <si>
    <t>Mean</t>
  </si>
  <si>
    <t>Std Deviation</t>
  </si>
  <si>
    <t>Min</t>
  </si>
  <si>
    <t>Max</t>
  </si>
  <si>
    <t>CMP</t>
  </si>
  <si>
    <t>Percentile</t>
  </si>
  <si>
    <t>Confidence</t>
  </si>
  <si>
    <t>VAR %</t>
  </si>
  <si>
    <t>Stock Price</t>
  </si>
  <si>
    <t>VAR (INR)</t>
  </si>
  <si>
    <t>Replication</t>
  </si>
  <si>
    <t>Stimulated Returns</t>
  </si>
  <si>
    <t>Monte Carlo Simulations</t>
  </si>
  <si>
    <t>About the company</t>
  </si>
  <si>
    <t>Financial Summary</t>
  </si>
  <si>
    <t>Return on Equity (ROE)</t>
  </si>
  <si>
    <t>Net Profit</t>
  </si>
  <si>
    <t>Average Shareholder Equity</t>
  </si>
  <si>
    <t>ROE - Dupont Equation</t>
  </si>
  <si>
    <t>Net Profit Margin (A)</t>
  </si>
  <si>
    <t>Average Total Asset</t>
  </si>
  <si>
    <t>Asset Turnover Ratio (B)</t>
  </si>
  <si>
    <t>Equity Multiplier (C)</t>
  </si>
  <si>
    <t>Return on Equity (A*B*C)</t>
  </si>
  <si>
    <t>Return on Asset</t>
  </si>
  <si>
    <t>ROA - Dupont Equation</t>
  </si>
  <si>
    <t>Return on Asset (A*B)</t>
  </si>
  <si>
    <t xml:space="preserve">   52 Week (High - INR 1551 &amp; Low - 1114)</t>
  </si>
  <si>
    <t>Financial Leverage</t>
  </si>
  <si>
    <t>Avg Total Assests</t>
  </si>
  <si>
    <t xml:space="preserve">Net Profit </t>
  </si>
  <si>
    <t xml:space="preserve">Revenues </t>
  </si>
  <si>
    <t xml:space="preserve">Return on Equity </t>
  </si>
  <si>
    <t xml:space="preserve">Return on Asset </t>
  </si>
  <si>
    <t>Altman Z Score Analysis</t>
  </si>
  <si>
    <t>Working Capital</t>
  </si>
  <si>
    <t>Working Capital/ Total Assets</t>
  </si>
  <si>
    <t>Retained Earning</t>
  </si>
  <si>
    <t>Retained Earning/ Total Assets</t>
  </si>
  <si>
    <t>EBIT/ Total Assets</t>
  </si>
  <si>
    <t>Market Cap/ Long term Liabilities</t>
  </si>
  <si>
    <t>Market Cap</t>
  </si>
  <si>
    <t>Long term Liability</t>
  </si>
  <si>
    <t>Sales / Total Assets</t>
  </si>
  <si>
    <t>Altman's Z Score</t>
  </si>
  <si>
    <t>Final Score</t>
  </si>
  <si>
    <t>Financial Stability</t>
  </si>
  <si>
    <t xml:space="preserve">Retained Earning/ Total Assets </t>
  </si>
  <si>
    <t>Sales/ Total Asset</t>
  </si>
  <si>
    <t>Market Cap/ Long term Liability</t>
  </si>
  <si>
    <t>Gross Profit Margins(%)</t>
  </si>
  <si>
    <t>EBITDA Margins(%)</t>
  </si>
  <si>
    <t>Net Profit Margins(%)</t>
  </si>
  <si>
    <t>Earnings Per Share(INR)</t>
  </si>
  <si>
    <t>EPS Growth(y-o-y)</t>
  </si>
  <si>
    <t>Dividend Per Share(INR)</t>
  </si>
  <si>
    <t>DPS Growth(y-o-y)</t>
  </si>
  <si>
    <t>Key Financial Ratios</t>
  </si>
  <si>
    <t>Price/Earnings</t>
  </si>
  <si>
    <t>EV/Sales</t>
  </si>
  <si>
    <t>Price to Book Value</t>
  </si>
  <si>
    <t>Return on Equity(%)</t>
  </si>
  <si>
    <t>Return on Capital Employed(%)</t>
  </si>
  <si>
    <t>EBIT Margins(%)</t>
  </si>
  <si>
    <t>Open</t>
  </si>
  <si>
    <t>Vol.</t>
  </si>
  <si>
    <t>Change %</t>
  </si>
  <si>
    <t>31.44M</t>
  </si>
  <si>
    <t>53.10M</t>
  </si>
  <si>
    <t>77.79M</t>
  </si>
  <si>
    <t>51.01M</t>
  </si>
  <si>
    <t>40.58M</t>
  </si>
  <si>
    <t>43.03M</t>
  </si>
  <si>
    <t>55.69M</t>
  </si>
  <si>
    <t>64.52M</t>
  </si>
  <si>
    <t>42.58M</t>
  </si>
  <si>
    <t>49.38M</t>
  </si>
  <si>
    <t>50.99M</t>
  </si>
  <si>
    <t>42.21M</t>
  </si>
  <si>
    <t>56.87M</t>
  </si>
  <si>
    <t>69.99M</t>
  </si>
  <si>
    <t>106.66M</t>
  </si>
  <si>
    <t>58.86M</t>
  </si>
  <si>
    <t>37.03M</t>
  </si>
  <si>
    <t>63.16M</t>
  </si>
  <si>
    <t>47.59M</t>
  </si>
  <si>
    <t>79.26M</t>
  </si>
  <si>
    <t>86.30M</t>
  </si>
  <si>
    <t>43.50M</t>
  </si>
  <si>
    <t>68.93M</t>
  </si>
  <si>
    <t>53.24M</t>
  </si>
  <si>
    <t>35.76M</t>
  </si>
  <si>
    <t>55.77M</t>
  </si>
  <si>
    <t>61.89M</t>
  </si>
  <si>
    <t>41.89M</t>
  </si>
  <si>
    <t>61.83M</t>
  </si>
  <si>
    <t>79.92M</t>
  </si>
  <si>
    <t>65.15M</t>
  </si>
  <si>
    <t>52.12M</t>
  </si>
  <si>
    <t>33.80M</t>
  </si>
  <si>
    <t>74.18M</t>
  </si>
  <si>
    <t>91.96M</t>
  </si>
  <si>
    <t>73.40M</t>
  </si>
  <si>
    <t>75.97M</t>
  </si>
  <si>
    <t>67.71M</t>
  </si>
  <si>
    <t>46.97M</t>
  </si>
  <si>
    <t>87.12M</t>
  </si>
  <si>
    <t>46.28M</t>
  </si>
  <si>
    <t>87.87M</t>
  </si>
  <si>
    <t>93.65M</t>
  </si>
  <si>
    <t>83.85M</t>
  </si>
  <si>
    <t>118.27M</t>
  </si>
  <si>
    <t>72.46M</t>
  </si>
  <si>
    <t>67.85M</t>
  </si>
  <si>
    <t>60.60M</t>
  </si>
  <si>
    <t>69.81M</t>
  </si>
  <si>
    <t>104.63M</t>
  </si>
  <si>
    <t>49.68M</t>
  </si>
  <si>
    <t>30.13M</t>
  </si>
  <si>
    <t>54.09M</t>
  </si>
  <si>
    <t>46.86M</t>
  </si>
  <si>
    <t>72.02M</t>
  </si>
  <si>
    <t>40.16M</t>
  </si>
  <si>
    <t>48.46M</t>
  </si>
  <si>
    <t>43.63M</t>
  </si>
  <si>
    <t>95.28M</t>
  </si>
  <si>
    <t>63.21M</t>
  </si>
  <si>
    <t>48.45M</t>
  </si>
  <si>
    <t>112.12M</t>
  </si>
  <si>
    <t>66.11M</t>
  </si>
  <si>
    <t>43.59M</t>
  </si>
  <si>
    <t>46.32M</t>
  </si>
  <si>
    <t>52.87M</t>
  </si>
  <si>
    <t>50.46M</t>
  </si>
  <si>
    <t>60.78M</t>
  </si>
  <si>
    <t>57.02M</t>
  </si>
  <si>
    <t>40.12M</t>
  </si>
  <si>
    <t>42.87M</t>
  </si>
  <si>
    <t>49.60M</t>
  </si>
  <si>
    <t>58.47M</t>
  </si>
  <si>
    <t>72.03M</t>
  </si>
  <si>
    <t>33.97M</t>
  </si>
  <si>
    <t>62.75M</t>
  </si>
  <si>
    <t>59.50M</t>
  </si>
  <si>
    <t>41.28M</t>
  </si>
  <si>
    <t>54.41M</t>
  </si>
  <si>
    <t>86.12M</t>
  </si>
  <si>
    <t>61.07M</t>
  </si>
  <si>
    <t>50.58M</t>
  </si>
  <si>
    <t>62.98M</t>
  </si>
  <si>
    <t>38.22M</t>
  </si>
  <si>
    <t>39.84M</t>
  </si>
  <si>
    <t>79.03M</t>
  </si>
  <si>
    <t>59.20M</t>
  </si>
  <si>
    <t>63.05M</t>
  </si>
  <si>
    <t>69.11M</t>
  </si>
  <si>
    <t>36.52M</t>
  </si>
  <si>
    <t>38.39M</t>
  </si>
  <si>
    <t>47.74M</t>
  </si>
  <si>
    <t>59.34M</t>
  </si>
  <si>
    <t>46.47M</t>
  </si>
  <si>
    <t>43.72M</t>
  </si>
  <si>
    <t>50.33M</t>
  </si>
  <si>
    <t>35.53M</t>
  </si>
  <si>
    <t>62.93M</t>
  </si>
  <si>
    <t>96.00M</t>
  </si>
  <si>
    <t>77.01M</t>
  </si>
  <si>
    <t>62.99M</t>
  </si>
  <si>
    <t>81.38M</t>
  </si>
  <si>
    <t>62.82M</t>
  </si>
  <si>
    <t>52.09M</t>
  </si>
  <si>
    <t>64.96M</t>
  </si>
  <si>
    <t>63.89M</t>
  </si>
  <si>
    <t>86.72M</t>
  </si>
  <si>
    <t>149.46M</t>
  </si>
  <si>
    <t>94.01M</t>
  </si>
  <si>
    <t>58.11M</t>
  </si>
  <si>
    <t>41.38M</t>
  </si>
  <si>
    <t>32.24M</t>
  </si>
  <si>
    <t>61.75M</t>
  </si>
  <si>
    <t>43.07M</t>
  </si>
  <si>
    <t>72.78M</t>
  </si>
  <si>
    <t>42.23M</t>
  </si>
  <si>
    <t>39.62M</t>
  </si>
  <si>
    <t>40.62M</t>
  </si>
  <si>
    <t>34.54M</t>
  </si>
  <si>
    <t>51.25M</t>
  </si>
  <si>
    <t>49.90M</t>
  </si>
  <si>
    <t>41.53M</t>
  </si>
  <si>
    <t>67.94M</t>
  </si>
  <si>
    <t>74.27M</t>
  </si>
  <si>
    <t>94.98M</t>
  </si>
  <si>
    <t>63.43M</t>
  </si>
  <si>
    <t>48.42M</t>
  </si>
  <si>
    <t>80.53M</t>
  </si>
  <si>
    <t>69.31M</t>
  </si>
  <si>
    <t>94.31M</t>
  </si>
  <si>
    <t>59.71M</t>
  </si>
  <si>
    <t>63.31M</t>
  </si>
  <si>
    <t>38.98M</t>
  </si>
  <si>
    <t>30.86M</t>
  </si>
  <si>
    <t>38.24M</t>
  </si>
  <si>
    <t>45.79M</t>
  </si>
  <si>
    <t>48.27M</t>
  </si>
  <si>
    <t>82.91M</t>
  </si>
  <si>
    <t>33.37M</t>
  </si>
  <si>
    <t>34.90M</t>
  </si>
  <si>
    <t>38.14M</t>
  </si>
  <si>
    <t>50.43M</t>
  </si>
  <si>
    <t>60.32M</t>
  </si>
  <si>
    <t>36.36M</t>
  </si>
  <si>
    <t>38.64M</t>
  </si>
  <si>
    <t>72.84M</t>
  </si>
  <si>
    <t>41.57M</t>
  </si>
  <si>
    <t>51.31M</t>
  </si>
  <si>
    <t>41.62M</t>
  </si>
  <si>
    <t>70.04M</t>
  </si>
  <si>
    <t>44.43M</t>
  </si>
  <si>
    <t>27.76M</t>
  </si>
  <si>
    <t>38.53M</t>
  </si>
  <si>
    <t>66.71M</t>
  </si>
  <si>
    <t>65.25M</t>
  </si>
  <si>
    <t>76.63M</t>
  </si>
  <si>
    <t>60.39M</t>
  </si>
  <si>
    <t>116.08M</t>
  </si>
  <si>
    <t>141.55M</t>
  </si>
  <si>
    <t>62.85M</t>
  </si>
  <si>
    <t>78.55M</t>
  </si>
  <si>
    <t>65.81M</t>
  </si>
  <si>
    <t>129.51M</t>
  </si>
  <si>
    <t>70.06M</t>
  </si>
  <si>
    <t>77.31M</t>
  </si>
  <si>
    <t>86.80M</t>
  </si>
  <si>
    <t>60.53M</t>
  </si>
  <si>
    <t>85.34M</t>
  </si>
  <si>
    <t>90.41M</t>
  </si>
  <si>
    <t>30.30M</t>
  </si>
  <si>
    <t>59.06M</t>
  </si>
  <si>
    <t>51.26M</t>
  </si>
  <si>
    <t>71.45M</t>
  </si>
  <si>
    <t>52.46M</t>
  </si>
  <si>
    <t>83.00M</t>
  </si>
  <si>
    <t>58.85M</t>
  </si>
  <si>
    <t>65.84M</t>
  </si>
  <si>
    <t>47.95M</t>
  </si>
  <si>
    <t>57.84M</t>
  </si>
  <si>
    <t>51.68M</t>
  </si>
  <si>
    <t>74.83M</t>
  </si>
  <si>
    <t>49.69M</t>
  </si>
  <si>
    <t>66.49M</t>
  </si>
  <si>
    <t>51.20M</t>
  </si>
  <si>
    <t>59.65M</t>
  </si>
  <si>
    <t>60.98M</t>
  </si>
  <si>
    <t>47.89M</t>
  </si>
  <si>
    <t>90.96M</t>
  </si>
  <si>
    <t>114.86M</t>
  </si>
  <si>
    <t>32.17M</t>
  </si>
  <si>
    <t>60.65M</t>
  </si>
  <si>
    <t>36.69M</t>
  </si>
  <si>
    <t>56.27M</t>
  </si>
  <si>
    <t>61.84M</t>
  </si>
  <si>
    <t>36.95M</t>
  </si>
  <si>
    <t>52.45M</t>
  </si>
  <si>
    <t>60.62M</t>
  </si>
  <si>
    <t>58.73M</t>
  </si>
  <si>
    <t>76.26M</t>
  </si>
  <si>
    <t>68.54M</t>
  </si>
  <si>
    <t>85.17M</t>
  </si>
  <si>
    <t>59.23M</t>
  </si>
  <si>
    <t>49.93M</t>
  </si>
  <si>
    <t>45.70M</t>
  </si>
  <si>
    <t>68.10M</t>
  </si>
  <si>
    <t>56.51M</t>
  </si>
  <si>
    <t>30.46M</t>
  </si>
  <si>
    <t>38.87M</t>
  </si>
  <si>
    <t>48.41M</t>
  </si>
  <si>
    <t>86.58M</t>
  </si>
  <si>
    <t>174.01M</t>
  </si>
  <si>
    <t>84.38M</t>
  </si>
  <si>
    <t>60.31M</t>
  </si>
  <si>
    <t>138.64M</t>
  </si>
  <si>
    <t>105.32M</t>
  </si>
  <si>
    <t>57.65M</t>
  </si>
  <si>
    <t>49.74M</t>
  </si>
  <si>
    <t>78.27M</t>
  </si>
  <si>
    <t>57.23M</t>
  </si>
  <si>
    <t>69.87M</t>
  </si>
  <si>
    <t>76.20M</t>
  </si>
  <si>
    <t>44.69M</t>
  </si>
  <si>
    <t>87.68M</t>
  </si>
  <si>
    <t>103.58M</t>
  </si>
  <si>
    <t>58.19M</t>
  </si>
  <si>
    <t>104.95M</t>
  </si>
  <si>
    <t>122.38M</t>
  </si>
  <si>
    <t>95.08M</t>
  </si>
  <si>
    <t>124.66M</t>
  </si>
  <si>
    <t>140.14M</t>
  </si>
  <si>
    <t>160.93M</t>
  </si>
  <si>
    <t>154.74M</t>
  </si>
  <si>
    <t>132.21M</t>
  </si>
  <si>
    <t>142.98M</t>
  </si>
  <si>
    <t>80.00M</t>
  </si>
  <si>
    <t>103.89M</t>
  </si>
  <si>
    <t>85.97M</t>
  </si>
  <si>
    <t>123.53M</t>
  </si>
  <si>
    <t>81.40M</t>
  </si>
  <si>
    <t>168.06M</t>
  </si>
  <si>
    <t>154.55M</t>
  </si>
  <si>
    <t>198.38M</t>
  </si>
  <si>
    <t>343.46M</t>
  </si>
  <si>
    <t>155.44M</t>
  </si>
  <si>
    <t>127.37M</t>
  </si>
  <si>
    <t>97.56M</t>
  </si>
  <si>
    <t>120.11M</t>
  </si>
  <si>
    <t>83.77M</t>
  </si>
  <si>
    <t>156.55M</t>
  </si>
  <si>
    <t>151.46M</t>
  </si>
  <si>
    <t>280.97M</t>
  </si>
  <si>
    <t>161.26M</t>
  </si>
  <si>
    <t>154.36M</t>
  </si>
  <si>
    <t>132.39M</t>
  </si>
  <si>
    <t>149.63M</t>
  </si>
  <si>
    <t>–</t>
  </si>
  <si>
    <t>Share Price - 5Y</t>
  </si>
  <si>
    <t>Market Capitilazation</t>
  </si>
  <si>
    <t xml:space="preserve">Debt </t>
  </si>
  <si>
    <t>Cash</t>
  </si>
  <si>
    <t>Ev</t>
  </si>
  <si>
    <t>EV/ebitda</t>
  </si>
  <si>
    <t>Ev/sales</t>
  </si>
  <si>
    <t>Book value</t>
  </si>
  <si>
    <t>p/b</t>
  </si>
  <si>
    <t>Price To earninig</t>
  </si>
  <si>
    <t>Shareholder equity</t>
  </si>
  <si>
    <t>volume</t>
  </si>
  <si>
    <t>Volume - 5Y</t>
  </si>
  <si>
    <t>Shareholder's name</t>
  </si>
  <si>
    <t>Total Shares Held</t>
  </si>
  <si>
    <t>Shareholding (%)</t>
  </si>
  <si>
    <t>Srichakra Commercials LLP</t>
  </si>
  <si>
    <t>Tattvam Enterprises LLP</t>
  </si>
  <si>
    <t>Karuna Commercials LLP</t>
  </si>
  <si>
    <t>Devarshi Commercials LLP</t>
  </si>
  <si>
    <t>Life Insurance Corporation of India</t>
  </si>
  <si>
    <t>Reliance Industries Holding Private Ltd</t>
  </si>
  <si>
    <t>Reliance Industrial Investments and Holdings Limited</t>
  </si>
  <si>
    <t>SBI Mutual Funds</t>
  </si>
  <si>
    <t>Samarjit Enterprises LLP</t>
  </si>
  <si>
    <t>Market Value in Cr</t>
  </si>
  <si>
    <t xml:space="preserve">Reliance Services and Holdings Limited </t>
  </si>
  <si>
    <t>Shareholding(%)</t>
  </si>
  <si>
    <t>No. of Shares in Cr</t>
  </si>
  <si>
    <t>Promoters</t>
  </si>
  <si>
    <t>FIIS</t>
  </si>
  <si>
    <t>DIIS</t>
  </si>
  <si>
    <t>Public</t>
  </si>
  <si>
    <t>Shareholder Pattern</t>
  </si>
  <si>
    <t>Top 10 Shareholder</t>
  </si>
  <si>
    <t>Share Price as on xxx</t>
  </si>
  <si>
    <t>Number of Share o/s</t>
  </si>
  <si>
    <t>Market Capitilization</t>
  </si>
  <si>
    <t xml:space="preserve">  Less: cash&amp;Equivalents</t>
  </si>
  <si>
    <t xml:space="preserve">  Add: Total Debt</t>
  </si>
  <si>
    <t xml:space="preserve">  Less: Minority Intrest</t>
  </si>
  <si>
    <t>Managerial Remuneration</t>
  </si>
  <si>
    <t>Mukesh D. Ambani</t>
  </si>
  <si>
    <t>Nikhil R. Meswani</t>
  </si>
  <si>
    <t>Hital R. Meswani</t>
  </si>
  <si>
    <t>P. M. S. Prasad</t>
  </si>
  <si>
    <t>Executive Director</t>
  </si>
  <si>
    <t>Raminder Singh Gujral</t>
  </si>
  <si>
    <t>Dr. Shumeet Banerji</t>
  </si>
  <si>
    <t>Arundhati Bhattacharya</t>
  </si>
  <si>
    <t>K. V. Chowdary</t>
  </si>
  <si>
    <t>His Excellency Yasir Othman H. Al Rumayyan</t>
  </si>
  <si>
    <t>K. V. Kamath</t>
  </si>
  <si>
    <t>Haigreve Khaitan</t>
  </si>
  <si>
    <t>Isha M. Ambani</t>
  </si>
  <si>
    <t>Akash M. Ambani</t>
  </si>
  <si>
    <t>Anant M. Ambani</t>
  </si>
  <si>
    <t>Non-Executive Directors</t>
  </si>
  <si>
    <t>Remuneration</t>
  </si>
  <si>
    <t>X of median Salary</t>
  </si>
  <si>
    <t>Designation</t>
  </si>
  <si>
    <t>NA</t>
  </si>
  <si>
    <t>includes performance linked incentives for the FY 2023-24 paid in the FY 2024-25.</t>
  </si>
  <si>
    <t>Footnotes</t>
  </si>
  <si>
    <t>Recent Updates</t>
  </si>
  <si>
    <t>Sources</t>
  </si>
  <si>
    <t>Source</t>
  </si>
  <si>
    <t>Figures in Crs</t>
  </si>
  <si>
    <t>https://www.screener.in/</t>
  </si>
  <si>
    <t>Author</t>
  </si>
  <si>
    <t>Daksh Suman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</si>
</sst>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0">
    <numFmt numFmtId="43" formatCode="_ * #,##0.00_ ;_ * \-#,##0.00_ ;_ * &quot;-&quot;??_ ;_ @_ "/>
    <numFmt numFmtId="164" formatCode="_(* #,##0.00_);_(* \(#,##0.00\);_(* &quot;-&quot;??_);_(@_)"/>
    <numFmt numFmtId="165" formatCode="[$-409]mmm\-yy;@"/>
    <numFmt numFmtId="166" formatCode="0.0%"/>
    <numFmt numFmtId="167" formatCode="&quot;₹&quot;\ #,##0.0"/>
    <numFmt numFmtId="168" formatCode="&quot;₹&quot;\ #,##0.0;\(&quot;₹&quot;#,##0.0\)"/>
    <numFmt numFmtId="169" formatCode="0.00&quot;x&quot;"/>
    <numFmt numFmtId="170" formatCode="yyyy&quot;A&quot;"/>
    <numFmt numFmtId="171" formatCode="yyyy&quot;E&quot;"/>
    <numFmt numFmtId="172" formatCode="[$-14009]dd/mm/yy;@"/>
    <numFmt numFmtId="173" formatCode="0.0000%"/>
    <numFmt numFmtId="174" formatCode="mmm/yy&quot;A&quot;"/>
    <numFmt numFmtId="175" formatCode="mmm/yy&quot;F&quot;"/>
    <numFmt numFmtId="176" formatCode="#,##0.0"/>
    <numFmt numFmtId="177" formatCode="0.0"/>
    <numFmt numFmtId="178" formatCode="0.000"/>
    <numFmt numFmtId="179" formatCode="0.0&quot;x&quot;"/>
    <numFmt numFmtId="180" formatCode="0.0\x"/>
    <numFmt numFmtId="181" formatCode="0.00\x"/>
    <numFmt numFmtId="182" formatCode="0.0000000"/>
  </numFmts>
  <fonts count="42"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b/>
      <sz val="12"/>
      <color theme="0"/>
      <name val="Calibri"/>
      <family val="2"/>
      <scheme val="minor"/>
    </font>
    <font>
      <b/>
      <sz val="14"/>
      <color theme="0"/>
      <name val="Calibri"/>
      <family val="2"/>
      <scheme val="minor"/>
    </font>
    <font>
      <i/>
      <sz val="9"/>
      <color theme="1"/>
      <name val="Calibri"/>
      <family val="2"/>
      <scheme val="minor"/>
    </font>
    <font>
      <b/>
      <sz val="16"/>
      <color theme="0"/>
      <name val="Calibri"/>
      <family val="2"/>
      <scheme val="minor"/>
    </font>
    <font>
      <i/>
      <sz val="11"/>
      <color theme="1"/>
      <name val="Calibri"/>
      <family val="2"/>
      <scheme val="minor"/>
    </font>
    <font>
      <i/>
      <sz val="11"/>
      <color theme="0" tint="-0.34998626667073579"/>
      <name val="Calibri"/>
      <family val="2"/>
      <scheme val="minor"/>
    </font>
    <font>
      <b/>
      <sz val="12"/>
      <color theme="1"/>
      <name val="Calibri"/>
      <family val="2"/>
      <scheme val="minor"/>
    </font>
    <font>
      <sz val="11"/>
      <color rgb="FF3333FF"/>
      <name val="Calibri"/>
      <family val="2"/>
      <scheme val="minor"/>
    </font>
    <font>
      <vertAlign val="superscript"/>
      <sz val="11"/>
      <color theme="1"/>
      <name val="Calibri"/>
      <family val="2"/>
      <scheme val="minor"/>
    </font>
    <font>
      <b/>
      <sz val="11"/>
      <color theme="0"/>
      <name val="Calibri"/>
      <family val="2"/>
    </font>
    <font>
      <b/>
      <sz val="11"/>
      <color theme="1"/>
      <name val="Calibri"/>
      <family val="2"/>
    </font>
    <font>
      <sz val="11"/>
      <color theme="0"/>
      <name val="Calibri"/>
      <family val="2"/>
    </font>
    <font>
      <i/>
      <sz val="9"/>
      <color theme="1"/>
      <name val="Calibri"/>
      <family val="2"/>
    </font>
    <font>
      <b/>
      <sz val="12"/>
      <color rgb="FF002060"/>
      <name val="calibri"/>
      <family val="2"/>
    </font>
    <font>
      <i/>
      <sz val="11"/>
      <color theme="1"/>
      <name val="calibri"/>
      <family val="2"/>
    </font>
    <font>
      <i/>
      <sz val="11"/>
      <color theme="0" tint="-0.249977111117893"/>
      <name val="Calibri"/>
      <family val="2"/>
      <scheme val="minor"/>
    </font>
    <font>
      <b/>
      <sz val="12"/>
      <color theme="0"/>
      <name val="calibri"/>
      <family val="2"/>
    </font>
    <font>
      <sz val="8"/>
      <color theme="1"/>
      <name val="Calibri"/>
      <family val="2"/>
    </font>
    <font>
      <sz val="12"/>
      <color theme="0"/>
      <name val="Calibri"/>
      <family val="2"/>
      <scheme val="minor"/>
    </font>
    <font>
      <b/>
      <sz val="20"/>
      <color theme="0"/>
      <name val="Calibri"/>
      <family val="2"/>
      <scheme val="minor"/>
    </font>
    <font>
      <sz val="14"/>
      <color theme="1"/>
      <name val="Calibri"/>
      <family val="2"/>
    </font>
    <font>
      <b/>
      <sz val="16"/>
      <color theme="1"/>
      <name val="calibri"/>
      <family val="2"/>
    </font>
    <font>
      <b/>
      <sz val="16"/>
      <name val="calibri"/>
      <family val="2"/>
    </font>
    <font>
      <b/>
      <sz val="10"/>
      <color theme="1"/>
      <name val="Calibri"/>
      <family val="2"/>
      <scheme val="minor"/>
    </font>
    <font>
      <b/>
      <sz val="22"/>
      <color theme="0"/>
      <name val="Calibri"/>
      <family val="2"/>
      <scheme val="minor"/>
    </font>
    <font>
      <b/>
      <sz val="24"/>
      <color theme="0"/>
      <name val="Calibri"/>
      <family val="2"/>
      <scheme val="minor"/>
    </font>
    <font>
      <i/>
      <sz val="9"/>
      <color theme="0" tint="-0.34998626667073579"/>
      <name val="Calibri"/>
      <family val="2"/>
      <scheme val="minor"/>
    </font>
    <font>
      <i/>
      <sz val="11"/>
      <color rgb="FF7F7F7F"/>
      <name val="Calibri"/>
      <family val="2"/>
      <scheme val="minor"/>
    </font>
    <font>
      <b/>
      <i/>
      <sz val="11"/>
      <color rgb="FF002060"/>
      <name val="Calibri"/>
      <family val="2"/>
      <scheme val="minor"/>
    </font>
    <font>
      <b/>
      <sz val="18"/>
      <color theme="0"/>
      <name val="Calibri"/>
      <family val="2"/>
      <scheme val="minor"/>
    </font>
    <font>
      <b/>
      <sz val="26"/>
      <color theme="0"/>
      <name val="Calibri"/>
      <family val="2"/>
      <scheme val="minor"/>
    </font>
    <font>
      <b/>
      <sz val="28"/>
      <color theme="0"/>
      <name val="Calibri"/>
      <family val="2"/>
      <scheme val="minor"/>
    </font>
    <font>
      <i/>
      <sz val="11"/>
      <color theme="0" tint="-0.499984740745262"/>
      <name val="Calibri"/>
      <family val="2"/>
      <scheme val="minor"/>
    </font>
    <font>
      <sz val="11"/>
      <color rgb="FF002060"/>
      <name val="Calibri"/>
      <family val="2"/>
      <scheme val="minor"/>
    </font>
    <font>
      <sz val="12"/>
      <color theme="1"/>
      <name val="Calibri"/>
      <family val="2"/>
      <scheme val="minor"/>
    </font>
  </fonts>
  <fills count="11">
    <fill>
      <patternFill patternType="none"/>
    </fill>
    <fill>
      <patternFill patternType="gray125"/>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bgColor indexed="64"/>
      </patternFill>
    </fill>
  </fills>
  <borders count="36">
    <border>
      <left/>
      <right/>
      <top/>
      <bottom/>
      <diagonal/>
    </border>
    <border>
      <left/>
      <right/>
      <top style="hair">
        <color auto="1"/>
      </top>
      <bottom/>
      <diagonal/>
    </border>
    <border>
      <left/>
      <right/>
      <top style="thin">
        <color auto="1"/>
      </top>
      <bottom style="medium">
        <color auto="1"/>
      </bottom>
      <diagonal/>
    </border>
    <border>
      <left/>
      <right/>
      <top style="dashed">
        <color auto="1"/>
      </top>
      <bottom style="dashed">
        <color auto="1"/>
      </bottom>
      <diagonal/>
    </border>
    <border>
      <left/>
      <right/>
      <top/>
      <bottom style="dashed">
        <color auto="1"/>
      </bottom>
      <diagonal/>
    </border>
    <border>
      <left/>
      <right/>
      <top/>
      <bottom style="medium">
        <color auto="1"/>
      </bottom>
      <diagonal/>
    </border>
    <border>
      <left/>
      <right/>
      <top style="thin">
        <color auto="1"/>
      </top>
      <bottom/>
      <diagonal/>
    </border>
    <border>
      <left/>
      <right/>
      <top/>
      <bottom style="thin">
        <color auto="1"/>
      </bottom>
      <diagonal/>
    </border>
    <border>
      <left/>
      <right/>
      <top style="dashed">
        <color auto="1"/>
      </top>
      <bottom/>
      <diagonal/>
    </border>
    <border>
      <left/>
      <right/>
      <top style="hair">
        <color auto="1"/>
      </top>
      <bottom style="thin">
        <color auto="1"/>
      </bottom>
      <diagonal/>
    </border>
    <border>
      <left/>
      <right/>
      <top style="dashed">
        <color auto="1"/>
      </top>
      <bottom style="medium">
        <color auto="1"/>
      </bottom>
      <diagonal/>
    </border>
    <border>
      <left/>
      <right/>
      <top style="hair">
        <color auto="1"/>
      </top>
      <bottom style="hair">
        <color auto="1"/>
      </bottom>
      <diagonal/>
    </border>
    <border>
      <left/>
      <right/>
      <top style="dashed">
        <color auto="1"/>
      </top>
      <bottom style="thin">
        <color auto="1"/>
      </bottom>
      <diagonal/>
    </border>
    <border>
      <left/>
      <right/>
      <top style="thin">
        <color auto="1"/>
      </top>
      <bottom style="dashed">
        <color auto="1"/>
      </bottom>
      <diagonal/>
    </border>
    <border>
      <left/>
      <right/>
      <top/>
      <bottom style="thin">
        <color theme="0"/>
      </bottom>
      <diagonal/>
    </border>
    <border>
      <left/>
      <right/>
      <top style="dotted">
        <color auto="1"/>
      </top>
      <bottom style="dotted">
        <color auto="1"/>
      </bottom>
      <diagonal/>
    </border>
    <border>
      <left/>
      <right/>
      <top style="dotted">
        <color auto="1"/>
      </top>
      <bottom/>
      <diagonal/>
    </border>
    <border>
      <left style="thin">
        <color auto="1"/>
      </left>
      <right style="dashed">
        <color auto="1"/>
      </right>
      <top style="thin">
        <color auto="1"/>
      </top>
      <bottom style="dashed">
        <color auto="1"/>
      </bottom>
      <diagonal/>
    </border>
    <border>
      <left style="dashed">
        <color auto="1"/>
      </left>
      <right style="dashed">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thin">
        <color auto="1"/>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right style="medium">
        <color auto="1"/>
      </right>
      <top/>
      <bottom style="thin">
        <color auto="1"/>
      </bottom>
      <diagonal/>
    </border>
    <border>
      <left style="dashed">
        <color auto="1"/>
      </left>
      <right style="medium">
        <color auto="1"/>
      </right>
      <top style="thin">
        <color auto="1"/>
      </top>
      <bottom style="dashed">
        <color auto="1"/>
      </bottom>
      <diagonal/>
    </border>
    <border>
      <left style="dashed">
        <color auto="1"/>
      </left>
      <right style="medium">
        <color auto="1"/>
      </right>
      <top style="dashed">
        <color auto="1"/>
      </top>
      <bottom style="dashed">
        <color auto="1"/>
      </bottom>
      <diagonal/>
    </border>
    <border>
      <left style="dashed">
        <color auto="1"/>
      </left>
      <right style="medium">
        <color auto="1"/>
      </right>
      <top style="dashed">
        <color auto="1"/>
      </top>
      <bottom style="medium">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ck">
        <color theme="1"/>
      </top>
      <bottom/>
      <diagonal/>
    </border>
    <border>
      <left/>
      <right/>
      <top/>
      <bottom style="thick">
        <color auto="1"/>
      </bottom>
      <diagonal/>
    </border>
    <border>
      <left/>
      <right/>
      <top style="medium">
        <color auto="1"/>
      </top>
      <bottom style="dashed">
        <color auto="1"/>
      </bottom>
      <diagonal/>
    </border>
    <border>
      <left/>
      <right/>
      <top style="thin">
        <color auto="1"/>
      </top>
      <bottom style="hair">
        <color auto="1"/>
      </bottom>
      <diagonal/>
    </border>
    <border>
      <left/>
      <right/>
      <top style="hair">
        <color auto="1"/>
      </top>
      <bottom style="medium">
        <color auto="1"/>
      </bottom>
      <diagonal/>
    </border>
    <border>
      <left/>
      <right/>
      <top/>
      <bottom style="hair">
        <color auto="1"/>
      </bottom>
      <diagonal/>
    </border>
  </borders>
  <cellStyleXfs count="5">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9" fontId="3" fillId="0" borderId="0" applyFont="0" applyFill="0" applyBorder="0" applyAlignment="0" applyProtection="0"/>
  </cellStyleXfs>
  <cellXfs count="342">
    <xf numFmtId="0" fontId="0" fillId="0" borderId="0" xfId="0"/>
    <xf numFmtId="43" fontId="1" fillId="0" borderId="0" xfId="1" applyFont="1" applyBorder="1"/>
    <xf numFmtId="0" fontId="1" fillId="0" borderId="0" xfId="0" applyFont="1"/>
    <xf numFmtId="43" fontId="0" fillId="0" borderId="0" xfId="1" applyFont="1" applyBorder="1"/>
    <xf numFmtId="10" fontId="0" fillId="0" borderId="0" xfId="0" applyNumberFormat="1"/>
    <xf numFmtId="43" fontId="3" fillId="0" borderId="0" xfId="1" applyFont="1" applyBorder="1"/>
    <xf numFmtId="165" fontId="2" fillId="3" borderId="0" xfId="0" applyNumberFormat="1" applyFont="1" applyFill="1" applyAlignment="1">
      <alignment horizontal="center"/>
    </xf>
    <xf numFmtId="165" fontId="2" fillId="3" borderId="0" xfId="1" applyNumberFormat="1" applyFont="1" applyFill="1" applyBorder="1"/>
    <xf numFmtId="165" fontId="6" fillId="0" borderId="0" xfId="1" applyNumberFormat="1" applyFont="1" applyFill="1" applyBorder="1"/>
    <xf numFmtId="0" fontId="0" fillId="0" borderId="0" xfId="0" applyAlignment="1">
      <alignment horizontal="left"/>
    </xf>
    <xf numFmtId="164" fontId="0" fillId="0" borderId="0" xfId="1" applyNumberFormat="1" applyFont="1" applyBorder="1"/>
    <xf numFmtId="0" fontId="0" fillId="4" borderId="0" xfId="0" applyFill="1"/>
    <xf numFmtId="0" fontId="2" fillId="4" borderId="0" xfId="0" applyFont="1" applyFill="1"/>
    <xf numFmtId="0" fontId="2" fillId="4" borderId="0" xfId="0" applyFont="1" applyFill="1" applyAlignment="1">
      <alignment horizontal="center"/>
    </xf>
    <xf numFmtId="0" fontId="0" fillId="0" borderId="0" xfId="0" applyAlignment="1">
      <alignment wrapText="1"/>
    </xf>
    <xf numFmtId="0" fontId="0" fillId="0" borderId="1" xfId="0" applyBorder="1"/>
    <xf numFmtId="0" fontId="9" fillId="0" borderId="1" xfId="0" applyFont="1" applyBorder="1"/>
    <xf numFmtId="0" fontId="1" fillId="4" borderId="0" xfId="0" applyFont="1" applyFill="1"/>
    <xf numFmtId="17" fontId="2" fillId="4" borderId="0" xfId="0" applyNumberFormat="1" applyFont="1" applyFill="1"/>
    <xf numFmtId="9" fontId="0" fillId="0" borderId="0" xfId="4" applyFont="1"/>
    <xf numFmtId="9" fontId="0" fillId="0" borderId="0" xfId="4" applyFont="1" applyBorder="1"/>
    <xf numFmtId="10" fontId="0" fillId="0" borderId="0" xfId="4" applyNumberFormat="1" applyFont="1"/>
    <xf numFmtId="43" fontId="0" fillId="0" borderId="0" xfId="0" applyNumberFormat="1"/>
    <xf numFmtId="167" fontId="0" fillId="0" borderId="0" xfId="0" applyNumberFormat="1"/>
    <xf numFmtId="0" fontId="0" fillId="0" borderId="3" xfId="0" applyBorder="1"/>
    <xf numFmtId="167" fontId="0" fillId="0" borderId="3" xfId="0" applyNumberFormat="1" applyBorder="1"/>
    <xf numFmtId="43" fontId="1" fillId="0" borderId="3" xfId="0" applyNumberFormat="1" applyFont="1" applyBorder="1"/>
    <xf numFmtId="0" fontId="1" fillId="0" borderId="3" xfId="0" applyFont="1" applyBorder="1"/>
    <xf numFmtId="167" fontId="1" fillId="0" borderId="3" xfId="0" applyNumberFormat="1" applyFont="1" applyBorder="1"/>
    <xf numFmtId="43" fontId="1" fillId="0" borderId="0" xfId="0" applyNumberFormat="1" applyFont="1"/>
    <xf numFmtId="167" fontId="1" fillId="0" borderId="0" xfId="0" applyNumberFormat="1" applyFont="1"/>
    <xf numFmtId="0" fontId="11" fillId="0" borderId="0" xfId="0" applyFont="1"/>
    <xf numFmtId="168" fontId="0" fillId="0" borderId="0" xfId="0" applyNumberFormat="1"/>
    <xf numFmtId="17" fontId="0" fillId="0" borderId="0" xfId="0" applyNumberFormat="1"/>
    <xf numFmtId="3" fontId="0" fillId="0" borderId="0" xfId="0" applyNumberFormat="1"/>
    <xf numFmtId="0" fontId="1" fillId="0" borderId="4" xfId="0" applyFont="1" applyBorder="1"/>
    <xf numFmtId="0" fontId="0" fillId="0" borderId="4" xfId="0" applyBorder="1"/>
    <xf numFmtId="43" fontId="1" fillId="0" borderId="4" xfId="1" applyFont="1" applyBorder="1"/>
    <xf numFmtId="167" fontId="0" fillId="0" borderId="4" xfId="0" applyNumberFormat="1" applyBorder="1"/>
    <xf numFmtId="43" fontId="1" fillId="0" borderId="2" xfId="1" applyFont="1" applyBorder="1" applyAlignment="1">
      <alignment horizontal="left"/>
    </xf>
    <xf numFmtId="0" fontId="1" fillId="0" borderId="2" xfId="0" applyFont="1" applyBorder="1"/>
    <xf numFmtId="168" fontId="1" fillId="0" borderId="2" xfId="0" applyNumberFormat="1" applyFont="1" applyBorder="1"/>
    <xf numFmtId="43" fontId="1" fillId="0" borderId="2" xfId="1" applyFont="1" applyBorder="1"/>
    <xf numFmtId="0" fontId="12" fillId="0" borderId="3" xfId="0" applyFont="1" applyBorder="1"/>
    <xf numFmtId="10" fontId="12" fillId="0" borderId="3" xfId="4" applyNumberFormat="1" applyFont="1" applyBorder="1"/>
    <xf numFmtId="43" fontId="3" fillId="0" borderId="3" xfId="1" applyFont="1" applyBorder="1"/>
    <xf numFmtId="9" fontId="0" fillId="0" borderId="3" xfId="4" applyFont="1" applyBorder="1"/>
    <xf numFmtId="166" fontId="12" fillId="0" borderId="3" xfId="4" applyNumberFormat="1" applyFont="1" applyBorder="1"/>
    <xf numFmtId="9" fontId="0" fillId="0" borderId="0" xfId="0" applyNumberFormat="1"/>
    <xf numFmtId="2" fontId="0" fillId="0" borderId="0" xfId="4" applyNumberFormat="1" applyFont="1"/>
    <xf numFmtId="2" fontId="0" fillId="0" borderId="0" xfId="0" applyNumberFormat="1"/>
    <xf numFmtId="0" fontId="5" fillId="0" borderId="0" xfId="0" applyFont="1"/>
    <xf numFmtId="170" fontId="1" fillId="0" borderId="0" xfId="0" applyNumberFormat="1" applyFont="1" applyAlignment="1">
      <alignment horizontal="center"/>
    </xf>
    <xf numFmtId="0" fontId="0" fillId="5" borderId="0" xfId="0" applyFill="1" applyAlignment="1">
      <alignment horizontal="left"/>
    </xf>
    <xf numFmtId="171" fontId="1" fillId="5" borderId="0" xfId="0" applyNumberFormat="1" applyFont="1" applyFill="1" applyAlignment="1">
      <alignment horizontal="center"/>
    </xf>
    <xf numFmtId="168" fontId="0" fillId="5" borderId="0" xfId="0" applyNumberFormat="1" applyFill="1"/>
    <xf numFmtId="10" fontId="0" fillId="5" borderId="0" xfId="4" applyNumberFormat="1" applyFont="1" applyFill="1"/>
    <xf numFmtId="0" fontId="10" fillId="4" borderId="0" xfId="0" applyFont="1" applyFill="1" applyAlignment="1">
      <alignment horizontal="center" vertical="center"/>
    </xf>
    <xf numFmtId="0" fontId="7" fillId="4" borderId="0" xfId="0" applyFont="1" applyFill="1" applyAlignment="1">
      <alignment horizontal="center" vertical="center"/>
    </xf>
    <xf numFmtId="172" fontId="0" fillId="0" borderId="0" xfId="0" applyNumberFormat="1" applyAlignment="1">
      <alignment horizontal="left"/>
    </xf>
    <xf numFmtId="0" fontId="13" fillId="0" borderId="0" xfId="0" applyFont="1" applyAlignment="1">
      <alignment horizontal="center" vertical="center"/>
    </xf>
    <xf numFmtId="0" fontId="1" fillId="0" borderId="5" xfId="0" applyFont="1" applyBorder="1"/>
    <xf numFmtId="0" fontId="1" fillId="0" borderId="5" xfId="0" applyFont="1" applyBorder="1" applyAlignment="1">
      <alignment horizontal="right"/>
    </xf>
    <xf numFmtId="10" fontId="14" fillId="0" borderId="0" xfId="0" applyNumberFormat="1" applyFont="1"/>
    <xf numFmtId="0" fontId="1" fillId="5" borderId="0" xfId="0" applyFont="1" applyFill="1"/>
    <xf numFmtId="0" fontId="0" fillId="5" borderId="0" xfId="0" applyFill="1"/>
    <xf numFmtId="2" fontId="0" fillId="5" borderId="0" xfId="0" applyNumberFormat="1" applyFill="1"/>
    <xf numFmtId="0" fontId="0" fillId="0" borderId="6" xfId="0" applyBorder="1"/>
    <xf numFmtId="0" fontId="0" fillId="0" borderId="7" xfId="0" applyBorder="1"/>
    <xf numFmtId="166" fontId="0" fillId="0" borderId="0" xfId="4" applyNumberFormat="1" applyFont="1"/>
    <xf numFmtId="10" fontId="0" fillId="0" borderId="6" xfId="0" applyNumberFormat="1" applyBorder="1"/>
    <xf numFmtId="2" fontId="0" fillId="0" borderId="6" xfId="0" applyNumberFormat="1" applyBorder="1"/>
    <xf numFmtId="10" fontId="0" fillId="0" borderId="7" xfId="0" applyNumberFormat="1" applyBorder="1"/>
    <xf numFmtId="2" fontId="0" fillId="0" borderId="7" xfId="0" applyNumberFormat="1" applyBorder="1"/>
    <xf numFmtId="173" fontId="0" fillId="0" borderId="0" xfId="0" applyNumberFormat="1"/>
    <xf numFmtId="166" fontId="0" fillId="0" borderId="6" xfId="4" applyNumberFormat="1" applyFont="1" applyBorder="1"/>
    <xf numFmtId="166" fontId="0" fillId="0" borderId="7" xfId="4" applyNumberFormat="1" applyFont="1" applyBorder="1"/>
    <xf numFmtId="166" fontId="0" fillId="0" borderId="0" xfId="0" applyNumberFormat="1"/>
    <xf numFmtId="10" fontId="0" fillId="0" borderId="0" xfId="4" applyNumberFormat="1" applyFont="1" applyAlignment="1">
      <alignment horizontal="right"/>
    </xf>
    <xf numFmtId="0" fontId="0" fillId="0" borderId="7" xfId="0" applyBorder="1" applyAlignment="1">
      <alignment horizontal="right"/>
    </xf>
    <xf numFmtId="0" fontId="1" fillId="0" borderId="7" xfId="0" applyFont="1" applyBorder="1" applyAlignment="1">
      <alignment horizontal="left"/>
    </xf>
    <xf numFmtId="0" fontId="1" fillId="0" borderId="7" xfId="0" applyFont="1" applyBorder="1" applyAlignment="1">
      <alignment horizontal="right"/>
    </xf>
    <xf numFmtId="2" fontId="15" fillId="0" borderId="0" xfId="4" applyNumberFormat="1" applyFont="1" applyAlignment="1">
      <alignment horizontal="right"/>
    </xf>
    <xf numFmtId="0" fontId="1" fillId="6" borderId="0" xfId="0" applyFont="1" applyFill="1"/>
    <xf numFmtId="10" fontId="1" fillId="6" borderId="0" xfId="0" applyNumberFormat="1" applyFont="1" applyFill="1"/>
    <xf numFmtId="9" fontId="1" fillId="5" borderId="3" xfId="4" applyFont="1" applyFill="1" applyBorder="1"/>
    <xf numFmtId="0" fontId="0" fillId="5" borderId="8" xfId="0" applyFill="1" applyBorder="1"/>
    <xf numFmtId="2" fontId="0" fillId="5" borderId="8" xfId="4" applyNumberFormat="1" applyFont="1" applyFill="1" applyBorder="1"/>
    <xf numFmtId="173" fontId="0" fillId="5" borderId="8" xfId="0" applyNumberFormat="1" applyFill="1" applyBorder="1"/>
    <xf numFmtId="0" fontId="0" fillId="5" borderId="6" xfId="0" applyFill="1" applyBorder="1"/>
    <xf numFmtId="166" fontId="0" fillId="5" borderId="6" xfId="0" applyNumberFormat="1" applyFill="1" applyBorder="1"/>
    <xf numFmtId="0" fontId="1" fillId="5" borderId="8" xfId="0" applyFont="1" applyFill="1" applyBorder="1"/>
    <xf numFmtId="166" fontId="1" fillId="5" borderId="8" xfId="0" applyNumberFormat="1" applyFont="1" applyFill="1" applyBorder="1"/>
    <xf numFmtId="0" fontId="14" fillId="0" borderId="0" xfId="0" applyFont="1"/>
    <xf numFmtId="0" fontId="1" fillId="0" borderId="6" xfId="0" applyFont="1" applyBorder="1"/>
    <xf numFmtId="0" fontId="1" fillId="0" borderId="7" xfId="0" applyFont="1" applyBorder="1"/>
    <xf numFmtId="0" fontId="0" fillId="0" borderId="6" xfId="0" applyBorder="1" applyAlignment="1">
      <alignment horizontal="right"/>
    </xf>
    <xf numFmtId="0" fontId="0" fillId="0" borderId="6" xfId="0" applyBorder="1" applyAlignment="1">
      <alignment horizontal="right" vertical="center"/>
    </xf>
    <xf numFmtId="0" fontId="0" fillId="0" borderId="7" xfId="0" applyBorder="1" applyAlignment="1">
      <alignment horizontal="right" vertical="center"/>
    </xf>
    <xf numFmtId="174" fontId="2" fillId="4" borderId="0" xfId="0" applyNumberFormat="1" applyFont="1" applyFill="1" applyAlignment="1">
      <alignment horizontal="right" vertical="center"/>
    </xf>
    <xf numFmtId="175" fontId="2" fillId="4" borderId="0" xfId="0" applyNumberFormat="1" applyFont="1" applyFill="1" applyAlignment="1">
      <alignment horizontal="right" vertical="center"/>
    </xf>
    <xf numFmtId="0" fontId="16" fillId="4" borderId="0" xfId="0" applyFont="1" applyFill="1"/>
    <xf numFmtId="0" fontId="18" fillId="4" borderId="0" xfId="0" applyFont="1" applyFill="1"/>
    <xf numFmtId="17" fontId="16" fillId="4" borderId="0" xfId="0" applyNumberFormat="1" applyFont="1" applyFill="1"/>
    <xf numFmtId="3" fontId="1" fillId="0" borderId="0" xfId="0" applyNumberFormat="1" applyFont="1"/>
    <xf numFmtId="0" fontId="1" fillId="0" borderId="1" xfId="0" applyFont="1" applyBorder="1"/>
    <xf numFmtId="3" fontId="1" fillId="0" borderId="1" xfId="0" applyNumberFormat="1" applyFont="1" applyBorder="1"/>
    <xf numFmtId="0" fontId="0" fillId="0" borderId="2" xfId="0" applyBorder="1"/>
    <xf numFmtId="3" fontId="1" fillId="0" borderId="2" xfId="0" applyNumberFormat="1" applyFont="1" applyBorder="1"/>
    <xf numFmtId="3" fontId="0" fillId="0" borderId="4" xfId="0" applyNumberFormat="1" applyBorder="1"/>
    <xf numFmtId="3" fontId="0" fillId="0" borderId="3" xfId="0" applyNumberFormat="1" applyBorder="1"/>
    <xf numFmtId="0" fontId="0" fillId="0" borderId="10" xfId="0" applyBorder="1"/>
    <xf numFmtId="10" fontId="1" fillId="0" borderId="2" xfId="4" applyNumberFormat="1" applyFont="1" applyBorder="1"/>
    <xf numFmtId="0" fontId="17" fillId="0" borderId="4" xfId="0" applyFont="1" applyBorder="1"/>
    <xf numFmtId="3" fontId="1" fillId="0" borderId="4" xfId="0" applyNumberFormat="1" applyFont="1" applyBorder="1"/>
    <xf numFmtId="0" fontId="0" fillId="0" borderId="11" xfId="0" applyBorder="1"/>
    <xf numFmtId="3" fontId="0" fillId="0" borderId="11" xfId="0" applyNumberFormat="1" applyBorder="1"/>
    <xf numFmtId="0" fontId="0" fillId="0" borderId="9" xfId="0" applyBorder="1"/>
    <xf numFmtId="3" fontId="0" fillId="0" borderId="9" xfId="0" applyNumberFormat="1" applyBorder="1"/>
    <xf numFmtId="9" fontId="0" fillId="0" borderId="11" xfId="0" applyNumberFormat="1" applyBorder="1"/>
    <xf numFmtId="9" fontId="1" fillId="0" borderId="2" xfId="4" applyFont="1" applyBorder="1"/>
    <xf numFmtId="0" fontId="17" fillId="5" borderId="0" xfId="0" applyFont="1" applyFill="1"/>
    <xf numFmtId="10" fontId="17" fillId="5" borderId="0" xfId="0" applyNumberFormat="1" applyFont="1" applyFill="1"/>
    <xf numFmtId="0" fontId="0" fillId="0" borderId="8" xfId="0" applyBorder="1"/>
    <xf numFmtId="9" fontId="0" fillId="0" borderId="8" xfId="0" applyNumberFormat="1" applyBorder="1"/>
    <xf numFmtId="10" fontId="0" fillId="0" borderId="2" xfId="0" applyNumberFormat="1" applyBorder="1"/>
    <xf numFmtId="3" fontId="1" fillId="0" borderId="3" xfId="0" applyNumberFormat="1" applyFont="1" applyBorder="1"/>
    <xf numFmtId="0" fontId="1" fillId="0" borderId="10" xfId="0" applyFont="1" applyBorder="1"/>
    <xf numFmtId="3" fontId="0" fillId="0" borderId="7" xfId="0" applyNumberFormat="1" applyBorder="1"/>
    <xf numFmtId="0" fontId="0" fillId="0" borderId="13" xfId="0" applyBorder="1"/>
    <xf numFmtId="176" fontId="0" fillId="5" borderId="13" xfId="0" applyNumberFormat="1" applyFill="1" applyBorder="1"/>
    <xf numFmtId="176" fontId="0" fillId="0" borderId="13" xfId="0" applyNumberFormat="1" applyBorder="1"/>
    <xf numFmtId="10" fontId="0" fillId="5" borderId="3" xfId="0" applyNumberFormat="1" applyFill="1" applyBorder="1"/>
    <xf numFmtId="10" fontId="0" fillId="0" borderId="3" xfId="0" applyNumberFormat="1" applyBorder="1"/>
    <xf numFmtId="176" fontId="0" fillId="5" borderId="3" xfId="0" applyNumberFormat="1" applyFill="1" applyBorder="1"/>
    <xf numFmtId="176" fontId="0" fillId="0" borderId="3" xfId="0" applyNumberFormat="1" applyBorder="1"/>
    <xf numFmtId="176" fontId="0" fillId="5" borderId="10" xfId="0" applyNumberFormat="1" applyFill="1" applyBorder="1"/>
    <xf numFmtId="176" fontId="0" fillId="0" borderId="10" xfId="0" applyNumberFormat="1" applyBorder="1"/>
    <xf numFmtId="176" fontId="0" fillId="5" borderId="0" xfId="0" applyNumberFormat="1" applyFill="1"/>
    <xf numFmtId="176" fontId="0" fillId="0" borderId="0" xfId="0" applyNumberFormat="1"/>
    <xf numFmtId="0" fontId="0" fillId="5" borderId="3" xfId="0" applyFill="1" applyBorder="1"/>
    <xf numFmtId="178" fontId="0" fillId="0" borderId="3" xfId="4" applyNumberFormat="1" applyFont="1" applyBorder="1"/>
    <xf numFmtId="0" fontId="0" fillId="5" borderId="10" xfId="0" applyFill="1" applyBorder="1"/>
    <xf numFmtId="10" fontId="0" fillId="5" borderId="3" xfId="4" applyNumberFormat="1" applyFont="1" applyFill="1" applyBorder="1"/>
    <xf numFmtId="10" fontId="0" fillId="0" borderId="10" xfId="0" applyNumberFormat="1" applyBorder="1"/>
    <xf numFmtId="0" fontId="1" fillId="5" borderId="2" xfId="0" applyFont="1" applyFill="1" applyBorder="1"/>
    <xf numFmtId="176" fontId="1" fillId="5" borderId="2" xfId="0" applyNumberFormat="1" applyFont="1" applyFill="1" applyBorder="1"/>
    <xf numFmtId="176" fontId="1" fillId="0" borderId="3" xfId="0" applyNumberFormat="1" applyFont="1" applyBorder="1"/>
    <xf numFmtId="0" fontId="0" fillId="0" borderId="12" xfId="0" applyBorder="1"/>
    <xf numFmtId="43" fontId="0" fillId="0" borderId="12" xfId="0" applyNumberFormat="1" applyBorder="1"/>
    <xf numFmtId="169" fontId="0" fillId="0" borderId="10" xfId="4" applyNumberFormat="1" applyFont="1" applyBorder="1"/>
    <xf numFmtId="43" fontId="1" fillId="0" borderId="2" xfId="0" applyNumberFormat="1" applyFont="1" applyBorder="1"/>
    <xf numFmtId="0" fontId="19" fillId="0" borderId="0" xfId="0" applyFont="1"/>
    <xf numFmtId="0" fontId="20" fillId="0" borderId="7" xfId="0" applyFont="1" applyBorder="1"/>
    <xf numFmtId="0" fontId="21" fillId="0" borderId="7" xfId="0" applyFont="1" applyBorder="1"/>
    <xf numFmtId="0" fontId="16" fillId="4" borderId="0" xfId="0" applyFont="1" applyFill="1" applyAlignment="1">
      <alignment horizontal="left"/>
    </xf>
    <xf numFmtId="0" fontId="16" fillId="4" borderId="0" xfId="0" applyFont="1" applyFill="1" applyAlignment="1">
      <alignment horizontal="right" wrapText="1"/>
    </xf>
    <xf numFmtId="0" fontId="16" fillId="4" borderId="0" xfId="0" applyFont="1" applyFill="1" applyAlignment="1">
      <alignment horizontal="right"/>
    </xf>
    <xf numFmtId="0" fontId="1" fillId="7" borderId="11" xfId="0" applyFont="1" applyFill="1" applyBorder="1"/>
    <xf numFmtId="3" fontId="1" fillId="7" borderId="11" xfId="0" applyNumberFormat="1" applyFont="1" applyFill="1" applyBorder="1"/>
    <xf numFmtId="179" fontId="1" fillId="7" borderId="11" xfId="0" applyNumberFormat="1" applyFont="1" applyFill="1" applyBorder="1"/>
    <xf numFmtId="179" fontId="0" fillId="0" borderId="11" xfId="0" applyNumberFormat="1" applyBorder="1"/>
    <xf numFmtId="0" fontId="0" fillId="8" borderId="11" xfId="0" applyFill="1" applyBorder="1"/>
    <xf numFmtId="179" fontId="0" fillId="8" borderId="11" xfId="0" applyNumberFormat="1" applyFill="1" applyBorder="1"/>
    <xf numFmtId="0" fontId="2" fillId="4" borderId="0" xfId="0" applyFont="1" applyFill="1" applyAlignment="1">
      <alignment horizontal="right"/>
    </xf>
    <xf numFmtId="0" fontId="1" fillId="8" borderId="11" xfId="0" applyFont="1" applyFill="1" applyBorder="1"/>
    <xf numFmtId="179" fontId="1" fillId="8" borderId="11" xfId="0" applyNumberFormat="1" applyFont="1" applyFill="1" applyBorder="1"/>
    <xf numFmtId="0" fontId="0" fillId="0" borderId="15" xfId="0" applyBorder="1"/>
    <xf numFmtId="3" fontId="0" fillId="0" borderId="15" xfId="0" applyNumberFormat="1" applyBorder="1"/>
    <xf numFmtId="0" fontId="0" fillId="0" borderId="16" xfId="0" applyBorder="1"/>
    <xf numFmtId="3" fontId="0" fillId="0" borderId="16" xfId="0" applyNumberFormat="1" applyBorder="1"/>
    <xf numFmtId="3" fontId="1" fillId="5" borderId="2" xfId="0" applyNumberFormat="1" applyFont="1" applyFill="1" applyBorder="1"/>
    <xf numFmtId="0" fontId="22" fillId="0" borderId="0" xfId="0" applyFont="1"/>
    <xf numFmtId="10" fontId="1" fillId="0" borderId="7" xfId="0" applyNumberFormat="1" applyFont="1" applyBorder="1"/>
    <xf numFmtId="9" fontId="1" fillId="0" borderId="7" xfId="0" applyNumberFormat="1" applyFont="1" applyBorder="1"/>
    <xf numFmtId="177" fontId="0" fillId="0" borderId="17" xfId="0" applyNumberFormat="1" applyBorder="1"/>
    <xf numFmtId="177" fontId="0" fillId="0" borderId="18" xfId="0" applyNumberFormat="1" applyBorder="1"/>
    <xf numFmtId="177" fontId="0" fillId="0" borderId="19" xfId="0" applyNumberFormat="1" applyBorder="1"/>
    <xf numFmtId="177" fontId="0" fillId="0" borderId="20" xfId="0" applyNumberFormat="1" applyBorder="1"/>
    <xf numFmtId="177" fontId="0" fillId="5" borderId="20" xfId="0" applyNumberFormat="1" applyFill="1" applyBorder="1"/>
    <xf numFmtId="177" fontId="0" fillId="0" borderId="21" xfId="0" applyNumberFormat="1" applyBorder="1"/>
    <xf numFmtId="177" fontId="0" fillId="0" borderId="22" xfId="0" applyNumberFormat="1" applyBorder="1"/>
    <xf numFmtId="9" fontId="1" fillId="0" borderId="23" xfId="0" applyNumberFormat="1" applyFont="1" applyBorder="1"/>
    <xf numFmtId="177" fontId="0" fillId="0" borderId="24" xfId="0" applyNumberFormat="1" applyBorder="1"/>
    <xf numFmtId="177" fontId="0" fillId="0" borderId="25" xfId="0" applyNumberFormat="1" applyBorder="1"/>
    <xf numFmtId="177" fontId="0" fillId="0" borderId="26" xfId="0" applyNumberFormat="1" applyBorder="1"/>
    <xf numFmtId="176" fontId="2" fillId="0" borderId="27" xfId="0" applyNumberFormat="1" applyFont="1" applyBorder="1" applyAlignment="1">
      <alignment horizontal="left"/>
    </xf>
    <xf numFmtId="10" fontId="1" fillId="0" borderId="28" xfId="4" applyNumberFormat="1" applyFont="1" applyBorder="1" applyAlignment="1">
      <alignment horizontal="left"/>
    </xf>
    <xf numFmtId="10" fontId="1" fillId="0" borderId="29" xfId="4" applyNumberFormat="1" applyFont="1" applyBorder="1" applyAlignment="1">
      <alignment horizontal="left"/>
    </xf>
    <xf numFmtId="0" fontId="16" fillId="4" borderId="27" xfId="0" applyFont="1" applyFill="1" applyBorder="1"/>
    <xf numFmtId="14" fontId="0" fillId="0" borderId="0" xfId="0" applyNumberFormat="1"/>
    <xf numFmtId="4" fontId="0" fillId="0" borderId="0" xfId="0" applyNumberFormat="1"/>
    <xf numFmtId="10" fontId="0" fillId="0" borderId="13" xfId="4" applyNumberFormat="1" applyFont="1" applyBorder="1"/>
    <xf numFmtId="10" fontId="0" fillId="0" borderId="3" xfId="4" applyNumberFormat="1" applyFont="1" applyBorder="1"/>
    <xf numFmtId="10" fontId="0" fillId="0" borderId="13" xfId="0" applyNumberFormat="1" applyBorder="1" applyAlignment="1">
      <alignment horizontal="right"/>
    </xf>
    <xf numFmtId="10" fontId="0" fillId="0" borderId="3" xfId="0" applyNumberFormat="1" applyBorder="1" applyAlignment="1">
      <alignment horizontal="right"/>
    </xf>
    <xf numFmtId="0" fontId="1" fillId="0" borderId="0" xfId="0" applyFont="1" applyAlignment="1">
      <alignment horizontal="right"/>
    </xf>
    <xf numFmtId="0" fontId="1" fillId="0" borderId="13" xfId="0" applyFont="1" applyBorder="1"/>
    <xf numFmtId="10" fontId="1" fillId="0" borderId="13" xfId="4" applyNumberFormat="1" applyFont="1" applyBorder="1" applyAlignment="1">
      <alignment horizontal="left"/>
    </xf>
    <xf numFmtId="10" fontId="1" fillId="0" borderId="3" xfId="4" applyNumberFormat="1" applyFont="1" applyBorder="1" applyAlignment="1">
      <alignment horizontal="left"/>
    </xf>
    <xf numFmtId="2" fontId="0" fillId="0" borderId="13" xfId="0" applyNumberFormat="1" applyBorder="1" applyAlignment="1">
      <alignment horizontal="right"/>
    </xf>
    <xf numFmtId="2" fontId="0" fillId="0" borderId="3" xfId="0" applyNumberFormat="1" applyBorder="1" applyAlignment="1">
      <alignment horizontal="right"/>
    </xf>
    <xf numFmtId="17" fontId="17" fillId="0" borderId="0" xfId="0" applyNumberFormat="1" applyFont="1"/>
    <xf numFmtId="0" fontId="17" fillId="9" borderId="0" xfId="0" applyFont="1" applyFill="1"/>
    <xf numFmtId="10" fontId="17" fillId="9" borderId="0" xfId="4" applyNumberFormat="1" applyFont="1" applyFill="1"/>
    <xf numFmtId="180" fontId="17" fillId="9" borderId="0" xfId="4" applyNumberFormat="1" applyFont="1" applyFill="1"/>
    <xf numFmtId="0" fontId="24" fillId="0" borderId="0" xfId="0" applyFont="1" applyAlignment="1">
      <alignment vertical="center" wrapText="1"/>
    </xf>
    <xf numFmtId="0" fontId="0" fillId="0" borderId="0" xfId="0" applyAlignment="1">
      <alignment horizontal="center"/>
    </xf>
    <xf numFmtId="17" fontId="2" fillId="4" borderId="0" xfId="0" applyNumberFormat="1" applyFont="1" applyFill="1" applyAlignment="1">
      <alignment horizontal="center"/>
    </xf>
    <xf numFmtId="0" fontId="23" fillId="4" borderId="0" xfId="0" applyFont="1" applyFill="1" applyAlignment="1">
      <alignment horizontal="center"/>
    </xf>
    <xf numFmtId="10" fontId="17" fillId="5" borderId="0" xfId="4" applyNumberFormat="1" applyFont="1" applyFill="1"/>
    <xf numFmtId="180" fontId="17" fillId="5" borderId="0" xfId="4" applyNumberFormat="1" applyFont="1" applyFill="1"/>
    <xf numFmtId="181" fontId="17" fillId="5" borderId="0" xfId="4" applyNumberFormat="1" applyFont="1" applyFill="1"/>
    <xf numFmtId="0" fontId="25" fillId="4" borderId="0" xfId="0" applyFont="1" applyFill="1" applyAlignment="1">
      <alignment horizontal="left"/>
    </xf>
    <xf numFmtId="0" fontId="23" fillId="4" borderId="0" xfId="0" applyFont="1" applyFill="1" applyAlignment="1">
      <alignment horizontal="left"/>
    </xf>
    <xf numFmtId="0" fontId="30" fillId="0" borderId="0" xfId="0" applyFont="1" applyAlignment="1">
      <alignment wrapText="1"/>
    </xf>
    <xf numFmtId="10" fontId="0" fillId="0" borderId="13" xfId="0" applyNumberFormat="1" applyBorder="1"/>
    <xf numFmtId="10" fontId="0" fillId="0" borderId="10" xfId="4" applyNumberFormat="1" applyFont="1" applyBorder="1"/>
    <xf numFmtId="9" fontId="0" fillId="0" borderId="3" xfId="0" applyNumberFormat="1" applyBorder="1"/>
    <xf numFmtId="169" fontId="0" fillId="0" borderId="10" xfId="0" applyNumberFormat="1" applyBorder="1"/>
    <xf numFmtId="169" fontId="0" fillId="0" borderId="13" xfId="0" applyNumberFormat="1" applyBorder="1"/>
    <xf numFmtId="169" fontId="0" fillId="0" borderId="3" xfId="0" applyNumberFormat="1" applyBorder="1"/>
    <xf numFmtId="1" fontId="0" fillId="0" borderId="13" xfId="0" applyNumberFormat="1" applyBorder="1"/>
    <xf numFmtId="1" fontId="0" fillId="0" borderId="3" xfId="0" applyNumberFormat="1" applyBorder="1"/>
    <xf numFmtId="1" fontId="0" fillId="0" borderId="10" xfId="0" applyNumberFormat="1" applyBorder="1"/>
    <xf numFmtId="10" fontId="0" fillId="7" borderId="13" xfId="0" applyNumberFormat="1" applyFill="1" applyBorder="1"/>
    <xf numFmtId="10" fontId="0" fillId="7" borderId="3" xfId="0" applyNumberFormat="1" applyFill="1" applyBorder="1"/>
    <xf numFmtId="10" fontId="0" fillId="7" borderId="10" xfId="0" applyNumberFormat="1" applyFill="1" applyBorder="1"/>
    <xf numFmtId="0" fontId="0" fillId="7" borderId="0" xfId="0" applyFill="1"/>
    <xf numFmtId="10" fontId="0" fillId="7" borderId="0" xfId="0" applyNumberFormat="1" applyFill="1"/>
    <xf numFmtId="169" fontId="0" fillId="7" borderId="13" xfId="0" applyNumberFormat="1" applyFill="1" applyBorder="1"/>
    <xf numFmtId="169" fontId="0" fillId="7" borderId="3" xfId="0" applyNumberFormat="1" applyFill="1" applyBorder="1"/>
    <xf numFmtId="169" fontId="0" fillId="7" borderId="10" xfId="0" applyNumberFormat="1" applyFill="1" applyBorder="1"/>
    <xf numFmtId="1" fontId="0" fillId="7" borderId="13" xfId="0" applyNumberFormat="1" applyFill="1" applyBorder="1"/>
    <xf numFmtId="1" fontId="0" fillId="7" borderId="3" xfId="0" applyNumberFormat="1" applyFill="1" applyBorder="1"/>
    <xf numFmtId="1" fontId="0" fillId="7" borderId="10" xfId="0" applyNumberFormat="1" applyFill="1" applyBorder="1"/>
    <xf numFmtId="10" fontId="0" fillId="7" borderId="13" xfId="4" applyNumberFormat="1" applyFont="1" applyFill="1" applyBorder="1"/>
    <xf numFmtId="10" fontId="0" fillId="7" borderId="3" xfId="4" applyNumberFormat="1" applyFont="1" applyFill="1" applyBorder="1"/>
    <xf numFmtId="10" fontId="0" fillId="7" borderId="10" xfId="4" applyNumberFormat="1" applyFont="1" applyFill="1" applyBorder="1"/>
    <xf numFmtId="43" fontId="0" fillId="0" borderId="32" xfId="1" applyFont="1" applyBorder="1"/>
    <xf numFmtId="0" fontId="0" fillId="0" borderId="32" xfId="0" applyBorder="1"/>
    <xf numFmtId="9" fontId="0" fillId="0" borderId="32" xfId="4" applyFont="1" applyBorder="1"/>
    <xf numFmtId="43" fontId="0" fillId="0" borderId="3" xfId="1" applyFont="1" applyBorder="1"/>
    <xf numFmtId="43" fontId="3" fillId="0" borderId="10" xfId="1" applyFont="1" applyBorder="1"/>
    <xf numFmtId="9" fontId="0" fillId="0" borderId="10" xfId="4" applyFont="1" applyBorder="1"/>
    <xf numFmtId="43" fontId="3" fillId="0" borderId="4" xfId="1" applyFont="1" applyBorder="1"/>
    <xf numFmtId="10" fontId="0" fillId="0" borderId="4" xfId="4" applyNumberFormat="1" applyFont="1" applyBorder="1"/>
    <xf numFmtId="43" fontId="1" fillId="0" borderId="2" xfId="1" applyFont="1" applyFill="1" applyBorder="1"/>
    <xf numFmtId="43" fontId="3" fillId="0" borderId="32" xfId="1" applyFont="1" applyBorder="1"/>
    <xf numFmtId="10" fontId="0" fillId="0" borderId="32" xfId="4" applyNumberFormat="1" applyFont="1" applyBorder="1"/>
    <xf numFmtId="43" fontId="0" fillId="0" borderId="10" xfId="1" applyFont="1" applyBorder="1"/>
    <xf numFmtId="182" fontId="0" fillId="0" borderId="0" xfId="0" applyNumberFormat="1"/>
    <xf numFmtId="167" fontId="0" fillId="0" borderId="13" xfId="0" applyNumberFormat="1" applyBorder="1"/>
    <xf numFmtId="166" fontId="3" fillId="0" borderId="10" xfId="4" applyNumberFormat="1" applyFont="1" applyBorder="1"/>
    <xf numFmtId="166" fontId="3" fillId="0" borderId="3" xfId="4" applyNumberFormat="1" applyFont="1" applyBorder="1"/>
    <xf numFmtId="15" fontId="0" fillId="0" borderId="0" xfId="0" applyNumberFormat="1"/>
    <xf numFmtId="166" fontId="3" fillId="0" borderId="0" xfId="4" applyNumberFormat="1" applyFont="1" applyBorder="1"/>
    <xf numFmtId="0" fontId="0" fillId="0" borderId="0" xfId="0" applyAlignment="1">
      <alignment horizontal="right"/>
    </xf>
    <xf numFmtId="0" fontId="33" fillId="0" borderId="0" xfId="0" applyFont="1"/>
    <xf numFmtId="0" fontId="0" fillId="0" borderId="33" xfId="0" applyBorder="1"/>
    <xf numFmtId="43" fontId="0" fillId="0" borderId="33" xfId="0" applyNumberFormat="1" applyBorder="1"/>
    <xf numFmtId="43" fontId="0" fillId="0" borderId="11" xfId="0" applyNumberFormat="1" applyBorder="1"/>
    <xf numFmtId="0" fontId="0" fillId="0" borderId="34" xfId="0" applyBorder="1"/>
    <xf numFmtId="177" fontId="0" fillId="0" borderId="33" xfId="0" applyNumberFormat="1" applyBorder="1"/>
    <xf numFmtId="10" fontId="0" fillId="0" borderId="33" xfId="4" applyNumberFormat="1" applyFont="1" applyBorder="1"/>
    <xf numFmtId="177" fontId="0" fillId="0" borderId="11" xfId="0" applyNumberFormat="1" applyBorder="1"/>
    <xf numFmtId="10" fontId="0" fillId="0" borderId="11" xfId="4" applyNumberFormat="1" applyFont="1" applyBorder="1"/>
    <xf numFmtId="177" fontId="0" fillId="0" borderId="34" xfId="0" applyNumberFormat="1" applyBorder="1"/>
    <xf numFmtId="10" fontId="0" fillId="0" borderId="34" xfId="4" applyNumberFormat="1" applyFont="1" applyBorder="1"/>
    <xf numFmtId="0" fontId="0" fillId="0" borderId="33" xfId="0" applyBorder="1" applyAlignment="1">
      <alignment horizontal="right"/>
    </xf>
    <xf numFmtId="0" fontId="0" fillId="0" borderId="11" xfId="0" applyBorder="1" applyAlignment="1">
      <alignment horizontal="right"/>
    </xf>
    <xf numFmtId="0" fontId="0" fillId="0" borderId="34" xfId="0" applyBorder="1" applyAlignment="1">
      <alignment horizontal="right"/>
    </xf>
    <xf numFmtId="0" fontId="34" fillId="0" borderId="0" xfId="0" applyFont="1"/>
    <xf numFmtId="0" fontId="35" fillId="0" borderId="0" xfId="0" applyFont="1" applyAlignment="1">
      <alignment horizontal="right" vertical="center"/>
    </xf>
    <xf numFmtId="0" fontId="36" fillId="4" borderId="0" xfId="0" applyFont="1" applyFill="1" applyAlignment="1">
      <alignment vertical="center"/>
    </xf>
    <xf numFmtId="0" fontId="7" fillId="4" borderId="0" xfId="0" applyFont="1" applyFill="1" applyAlignment="1">
      <alignment vertical="center"/>
    </xf>
    <xf numFmtId="2" fontId="0" fillId="10" borderId="0" xfId="4" applyNumberFormat="1" applyFont="1" applyFill="1"/>
    <xf numFmtId="10" fontId="5" fillId="10" borderId="0" xfId="0" applyNumberFormat="1" applyFont="1" applyFill="1"/>
    <xf numFmtId="0" fontId="39" fillId="0" borderId="0" xfId="0" applyFont="1"/>
    <xf numFmtId="169" fontId="0" fillId="0" borderId="0" xfId="4" applyNumberFormat="1" applyFont="1" applyBorder="1"/>
    <xf numFmtId="172" fontId="5" fillId="0" borderId="0" xfId="0" applyNumberFormat="1" applyFont="1" applyAlignment="1">
      <alignment horizontal="left"/>
    </xf>
    <xf numFmtId="168" fontId="5" fillId="0" borderId="0" xfId="0" applyNumberFormat="1" applyFont="1"/>
    <xf numFmtId="10" fontId="5" fillId="0" borderId="0" xfId="4" applyNumberFormat="1" applyFont="1"/>
    <xf numFmtId="172" fontId="40" fillId="4" borderId="0" xfId="0" applyNumberFormat="1" applyFont="1" applyFill="1" applyAlignment="1">
      <alignment horizontal="left"/>
    </xf>
    <xf numFmtId="168" fontId="40" fillId="4" borderId="0" xfId="0" applyNumberFormat="1" applyFont="1" applyFill="1"/>
    <xf numFmtId="10" fontId="40" fillId="4" borderId="0" xfId="4" applyNumberFormat="1" applyFont="1" applyFill="1"/>
    <xf numFmtId="0" fontId="40" fillId="4" borderId="0" xfId="0" applyFont="1" applyFill="1"/>
    <xf numFmtId="168" fontId="1" fillId="0" borderId="0" xfId="0" applyNumberFormat="1" applyFont="1"/>
    <xf numFmtId="3" fontId="40" fillId="0" borderId="3" xfId="0" applyNumberFormat="1" applyFont="1" applyBorder="1"/>
    <xf numFmtId="1" fontId="40" fillId="0" borderId="3" xfId="0" applyNumberFormat="1" applyFont="1" applyBorder="1"/>
    <xf numFmtId="0" fontId="40" fillId="0" borderId="10" xfId="0" applyFont="1" applyBorder="1"/>
    <xf numFmtId="14" fontId="5" fillId="0" borderId="0" xfId="0" applyNumberFormat="1" applyFont="1"/>
    <xf numFmtId="2" fontId="5" fillId="0" borderId="0" xfId="4" applyNumberFormat="1" applyFont="1"/>
    <xf numFmtId="4" fontId="5" fillId="0" borderId="0" xfId="0" applyNumberFormat="1" applyFont="1"/>
    <xf numFmtId="182" fontId="5" fillId="0" borderId="0" xfId="0" applyNumberFormat="1" applyFont="1"/>
    <xf numFmtId="10" fontId="5" fillId="0" borderId="0" xfId="0" applyNumberFormat="1" applyFont="1"/>
    <xf numFmtId="14" fontId="0" fillId="10" borderId="0" xfId="0" applyNumberFormat="1" applyFill="1"/>
    <xf numFmtId="0" fontId="0" fillId="10" borderId="0" xfId="0" applyFill="1"/>
    <xf numFmtId="4" fontId="0" fillId="10" borderId="0" xfId="0" applyNumberFormat="1" applyFill="1"/>
    <xf numFmtId="182" fontId="0" fillId="10" borderId="0" xfId="0" applyNumberFormat="1" applyFill="1"/>
    <xf numFmtId="0" fontId="31" fillId="4" borderId="0" xfId="0" applyFont="1" applyFill="1" applyAlignment="1">
      <alignment horizontal="center"/>
    </xf>
    <xf numFmtId="0" fontId="2" fillId="4" borderId="0" xfId="0" applyFont="1" applyFill="1" applyAlignment="1">
      <alignment horizontal="center"/>
    </xf>
    <xf numFmtId="17" fontId="2" fillId="4" borderId="0" xfId="0" applyNumberFormat="1" applyFont="1" applyFill="1" applyAlignment="1">
      <alignment horizontal="center"/>
    </xf>
    <xf numFmtId="0" fontId="0" fillId="0" borderId="33" xfId="0" applyBorder="1" applyAlignment="1">
      <alignment horizontal="right"/>
    </xf>
    <xf numFmtId="0" fontId="0" fillId="0" borderId="11" xfId="0" applyBorder="1" applyAlignment="1">
      <alignment horizontal="right"/>
    </xf>
    <xf numFmtId="0" fontId="0" fillId="0" borderId="34" xfId="0" applyBorder="1" applyAlignment="1">
      <alignment horizontal="center"/>
    </xf>
    <xf numFmtId="0" fontId="7" fillId="4" borderId="0" xfId="0" applyFont="1" applyFill="1" applyAlignment="1">
      <alignment horizontal="center"/>
    </xf>
    <xf numFmtId="43" fontId="32" fillId="4" borderId="0" xfId="0" applyNumberFormat="1" applyFont="1" applyFill="1" applyAlignment="1">
      <alignment horizontal="center" vertical="center"/>
    </xf>
    <xf numFmtId="0" fontId="36" fillId="4" borderId="0" xfId="0" applyFont="1" applyFill="1" applyAlignment="1">
      <alignment horizontal="center" vertical="center"/>
    </xf>
    <xf numFmtId="0" fontId="0" fillId="4" borderId="0" xfId="0" applyFill="1" applyAlignment="1">
      <alignment horizontal="center"/>
    </xf>
    <xf numFmtId="0" fontId="0" fillId="0" borderId="3"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7" fillId="4" borderId="0" xfId="0" applyFont="1" applyFill="1" applyAlignment="1">
      <alignment horizontal="center" vertical="center"/>
    </xf>
    <xf numFmtId="43" fontId="31" fillId="4" borderId="0" xfId="0" applyNumberFormat="1" applyFont="1" applyFill="1" applyAlignment="1">
      <alignment horizontal="center" vertical="center"/>
    </xf>
    <xf numFmtId="0" fontId="1" fillId="0" borderId="0" xfId="0" applyFont="1" applyAlignment="1">
      <alignment horizontal="center"/>
    </xf>
    <xf numFmtId="43" fontId="37" fillId="4" borderId="0" xfId="0" applyNumberFormat="1" applyFont="1" applyFill="1" applyAlignment="1">
      <alignment horizontal="center" vertical="center"/>
    </xf>
    <xf numFmtId="0" fontId="5" fillId="4" borderId="0" xfId="0" applyFont="1" applyFill="1" applyAlignment="1">
      <alignment horizontal="center"/>
    </xf>
    <xf numFmtId="0" fontId="13" fillId="0" borderId="0" xfId="0" applyFont="1" applyAlignment="1">
      <alignment horizontal="center" vertical="center"/>
    </xf>
    <xf numFmtId="43" fontId="10" fillId="4" borderId="0" xfId="0" applyNumberFormat="1" applyFont="1" applyFill="1" applyAlignment="1">
      <alignment horizontal="center" vertical="center"/>
    </xf>
    <xf numFmtId="0" fontId="10" fillId="4" borderId="0" xfId="0" applyFont="1" applyFill="1" applyAlignment="1">
      <alignment horizontal="center" vertical="center"/>
    </xf>
    <xf numFmtId="0" fontId="2" fillId="4" borderId="0" xfId="0" applyFont="1" applyFill="1" applyAlignment="1">
      <alignment horizontal="left" vertical="center"/>
    </xf>
    <xf numFmtId="0" fontId="16" fillId="4" borderId="14" xfId="0" applyFont="1" applyFill="1" applyBorder="1" applyAlignment="1">
      <alignment horizontal="center"/>
    </xf>
    <xf numFmtId="43" fontId="38" fillId="4" borderId="0" xfId="0" applyNumberFormat="1" applyFont="1" applyFill="1" applyAlignment="1">
      <alignment horizontal="center" vertical="center"/>
    </xf>
    <xf numFmtId="0" fontId="23" fillId="4" borderId="0" xfId="0" applyFont="1" applyFill="1" applyAlignment="1">
      <alignment horizontal="center"/>
    </xf>
    <xf numFmtId="43" fontId="26" fillId="4" borderId="0" xfId="0" applyNumberFormat="1" applyFont="1" applyFill="1" applyAlignment="1">
      <alignment horizontal="left" vertical="center"/>
    </xf>
    <xf numFmtId="0" fontId="26" fillId="4" borderId="0" xfId="0" applyFont="1" applyFill="1" applyAlignment="1">
      <alignment horizontal="left" vertical="center"/>
    </xf>
    <xf numFmtId="0" fontId="27" fillId="0" borderId="0" xfId="0" applyFont="1" applyAlignment="1">
      <alignment horizontal="center" vertical="center" wrapText="1"/>
    </xf>
    <xf numFmtId="0" fontId="30" fillId="0" borderId="7" xfId="0" applyFont="1" applyBorder="1" applyAlignment="1">
      <alignment horizontal="center" wrapText="1"/>
    </xf>
    <xf numFmtId="0" fontId="30" fillId="0" borderId="7" xfId="0" applyFont="1" applyBorder="1" applyAlignment="1">
      <alignment horizontal="center"/>
    </xf>
    <xf numFmtId="0" fontId="29" fillId="0" borderId="31" xfId="0" applyFont="1" applyBorder="1" applyAlignment="1">
      <alignment horizontal="center"/>
    </xf>
    <xf numFmtId="0" fontId="28" fillId="0" borderId="30" xfId="0" applyFont="1" applyBorder="1" applyAlignment="1">
      <alignment horizontal="center"/>
    </xf>
    <xf numFmtId="43" fontId="38" fillId="4" borderId="0" xfId="0" applyNumberFormat="1" applyFont="1" applyFill="1" applyAlignment="1">
      <alignment horizontal="left"/>
    </xf>
    <xf numFmtId="43" fontId="26" fillId="4" borderId="0" xfId="0" applyNumberFormat="1" applyFont="1" applyFill="1" applyAlignment="1">
      <alignment horizontal="center" vertical="center"/>
    </xf>
    <xf numFmtId="0" fontId="26" fillId="4" borderId="0" xfId="0" applyFont="1" applyFill="1" applyAlignment="1">
      <alignment horizontal="center" vertical="center"/>
    </xf>
    <xf numFmtId="0" fontId="8" fillId="4" borderId="0" xfId="0" applyFont="1" applyFill="1" applyAlignment="1">
      <alignment horizontal="center" vertical="center"/>
    </xf>
    <xf numFmtId="43" fontId="4" fillId="0" borderId="0" xfId="2" applyNumberFormat="1" applyBorder="1" applyAlignment="1" applyProtection="1">
      <alignment horizontal="center"/>
    </xf>
    <xf numFmtId="43" fontId="2" fillId="2" borderId="0" xfId="3" applyNumberFormat="1" applyFont="1" applyBorder="1" applyAlignment="1">
      <alignment horizontal="center"/>
    </xf>
    <xf numFmtId="0" fontId="41" fillId="0" borderId="0" xfId="0" applyFont="1" applyAlignment="1">
      <alignment horizontal="center" vertical="center" wrapText="1"/>
    </xf>
    <xf numFmtId="0" fontId="41" fillId="0" borderId="35" xfId="0" applyFont="1" applyBorder="1" applyAlignment="1">
      <alignment horizontal="center" vertical="center" wrapText="1"/>
    </xf>
    <xf numFmtId="9" fontId="14" fillId="0" borderId="11" xfId="0" applyNumberFormat="1" applyFont="1" applyBorder="1"/>
  </cellXfs>
  <cellStyles count="5">
    <cellStyle name="Accent6" xfId="3" builtinId="49"/>
    <cellStyle name="Comma" xfId="1" builtinId="3"/>
    <cellStyle name="Hyperlink" xfId="2" builtinId="8"/>
    <cellStyle name="Normal" xfId="0" builtinId="0"/>
    <cellStyle name="Per cent" xfId="4" builtinId="5"/>
  </cellStyles>
  <dxfs count="1">
    <dxf>
      <font>
        <b/>
        <i val="0"/>
        <color theme="0"/>
      </font>
      <fill>
        <patternFill>
          <bgColor theme="5"/>
        </patternFill>
      </fill>
    </dxf>
  </dxfs>
  <tableStyles count="1" defaultTableStyle="TableStyleMedium9" defaultPivotStyle="PivotStyleLight16">
    <tableStyle name="Invisible" pivot="0" table="0" count="0" xr9:uid="{4BCAED49-D131-4D0F-B7C4-8332D94F0011}"/>
  </tableStyles>
  <colors>
    <mruColors>
      <color rgb="FF3333FF"/>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81341929445687"/>
          <c:y val="2.7820624985979318E-2"/>
          <c:w val="0.78347117648885167"/>
          <c:h val="0.83394127016174258"/>
        </c:manualLayout>
      </c:layout>
      <c:lineChart>
        <c:grouping val="standard"/>
        <c:varyColors val="0"/>
        <c:ser>
          <c:idx val="0"/>
          <c:order val="0"/>
          <c:spPr>
            <a:ln w="28575" cap="rnd">
              <a:solidFill>
                <a:srgbClr val="002060"/>
              </a:solidFill>
              <a:round/>
            </a:ln>
            <a:effectLst/>
          </c:spPr>
          <c:marker>
            <c:symbol val="none"/>
          </c:marker>
          <c:cat>
            <c:numRef>
              <c:f>Stock!$B$3:$B$263</c:f>
              <c:numCache>
                <c:formatCode>m/d/yyyy</c:formatCode>
                <c:ptCount val="261"/>
                <c:pt idx="0">
                  <c:v>45872</c:v>
                </c:pt>
                <c:pt idx="1">
                  <c:v>45865</c:v>
                </c:pt>
                <c:pt idx="2">
                  <c:v>45858</c:v>
                </c:pt>
                <c:pt idx="3">
                  <c:v>45851</c:v>
                </c:pt>
                <c:pt idx="4">
                  <c:v>45844</c:v>
                </c:pt>
                <c:pt idx="5">
                  <c:v>45837</c:v>
                </c:pt>
                <c:pt idx="6">
                  <c:v>45830</c:v>
                </c:pt>
                <c:pt idx="7">
                  <c:v>45823</c:v>
                </c:pt>
                <c:pt idx="8">
                  <c:v>45816</c:v>
                </c:pt>
                <c:pt idx="9">
                  <c:v>45809</c:v>
                </c:pt>
                <c:pt idx="10">
                  <c:v>45802</c:v>
                </c:pt>
                <c:pt idx="11">
                  <c:v>45795</c:v>
                </c:pt>
                <c:pt idx="12">
                  <c:v>45788</c:v>
                </c:pt>
                <c:pt idx="13">
                  <c:v>45781</c:v>
                </c:pt>
                <c:pt idx="14">
                  <c:v>45774</c:v>
                </c:pt>
                <c:pt idx="15">
                  <c:v>45767</c:v>
                </c:pt>
                <c:pt idx="16">
                  <c:v>45760</c:v>
                </c:pt>
                <c:pt idx="17">
                  <c:v>45753</c:v>
                </c:pt>
                <c:pt idx="18">
                  <c:v>45746</c:v>
                </c:pt>
                <c:pt idx="19">
                  <c:v>45739</c:v>
                </c:pt>
                <c:pt idx="20">
                  <c:v>45732</c:v>
                </c:pt>
                <c:pt idx="21">
                  <c:v>45725</c:v>
                </c:pt>
                <c:pt idx="22">
                  <c:v>45718</c:v>
                </c:pt>
                <c:pt idx="23">
                  <c:v>45711</c:v>
                </c:pt>
                <c:pt idx="24">
                  <c:v>45704</c:v>
                </c:pt>
                <c:pt idx="25">
                  <c:v>45697</c:v>
                </c:pt>
                <c:pt idx="26">
                  <c:v>45690</c:v>
                </c:pt>
                <c:pt idx="27">
                  <c:v>45683</c:v>
                </c:pt>
                <c:pt idx="28">
                  <c:v>45676</c:v>
                </c:pt>
                <c:pt idx="29">
                  <c:v>45669</c:v>
                </c:pt>
                <c:pt idx="30">
                  <c:v>45662</c:v>
                </c:pt>
                <c:pt idx="31">
                  <c:v>45655</c:v>
                </c:pt>
                <c:pt idx="32">
                  <c:v>45648</c:v>
                </c:pt>
                <c:pt idx="33">
                  <c:v>45641</c:v>
                </c:pt>
                <c:pt idx="34">
                  <c:v>45634</c:v>
                </c:pt>
                <c:pt idx="35">
                  <c:v>45627</c:v>
                </c:pt>
                <c:pt idx="36">
                  <c:v>45620</c:v>
                </c:pt>
                <c:pt idx="37">
                  <c:v>45613</c:v>
                </c:pt>
                <c:pt idx="38">
                  <c:v>45606</c:v>
                </c:pt>
                <c:pt idx="39">
                  <c:v>45599</c:v>
                </c:pt>
                <c:pt idx="40">
                  <c:v>45592</c:v>
                </c:pt>
                <c:pt idx="41">
                  <c:v>45585</c:v>
                </c:pt>
                <c:pt idx="42">
                  <c:v>45578</c:v>
                </c:pt>
                <c:pt idx="43">
                  <c:v>45571</c:v>
                </c:pt>
                <c:pt idx="44">
                  <c:v>45564</c:v>
                </c:pt>
                <c:pt idx="45">
                  <c:v>45557</c:v>
                </c:pt>
                <c:pt idx="46">
                  <c:v>45550</c:v>
                </c:pt>
                <c:pt idx="47">
                  <c:v>45543</c:v>
                </c:pt>
                <c:pt idx="48">
                  <c:v>45536</c:v>
                </c:pt>
                <c:pt idx="49">
                  <c:v>45529</c:v>
                </c:pt>
                <c:pt idx="50">
                  <c:v>45522</c:v>
                </c:pt>
                <c:pt idx="51">
                  <c:v>45515</c:v>
                </c:pt>
                <c:pt idx="52">
                  <c:v>45508</c:v>
                </c:pt>
                <c:pt idx="53">
                  <c:v>45501</c:v>
                </c:pt>
                <c:pt idx="54">
                  <c:v>45494</c:v>
                </c:pt>
                <c:pt idx="55">
                  <c:v>45487</c:v>
                </c:pt>
                <c:pt idx="56">
                  <c:v>45480</c:v>
                </c:pt>
                <c:pt idx="57">
                  <c:v>45473</c:v>
                </c:pt>
                <c:pt idx="58">
                  <c:v>45466</c:v>
                </c:pt>
                <c:pt idx="59">
                  <c:v>45459</c:v>
                </c:pt>
                <c:pt idx="60">
                  <c:v>45452</c:v>
                </c:pt>
                <c:pt idx="61">
                  <c:v>45445</c:v>
                </c:pt>
                <c:pt idx="62">
                  <c:v>45438</c:v>
                </c:pt>
                <c:pt idx="63">
                  <c:v>45431</c:v>
                </c:pt>
                <c:pt idx="64">
                  <c:v>45424</c:v>
                </c:pt>
                <c:pt idx="65">
                  <c:v>45417</c:v>
                </c:pt>
                <c:pt idx="66">
                  <c:v>45410</c:v>
                </c:pt>
                <c:pt idx="67">
                  <c:v>45403</c:v>
                </c:pt>
                <c:pt idx="68">
                  <c:v>45396</c:v>
                </c:pt>
                <c:pt idx="69">
                  <c:v>45389</c:v>
                </c:pt>
                <c:pt idx="70">
                  <c:v>45382</c:v>
                </c:pt>
                <c:pt idx="71">
                  <c:v>45375</c:v>
                </c:pt>
                <c:pt idx="72">
                  <c:v>45368</c:v>
                </c:pt>
                <c:pt idx="73">
                  <c:v>45361</c:v>
                </c:pt>
                <c:pt idx="74">
                  <c:v>45354</c:v>
                </c:pt>
                <c:pt idx="75">
                  <c:v>45347</c:v>
                </c:pt>
                <c:pt idx="76">
                  <c:v>45340</c:v>
                </c:pt>
                <c:pt idx="77">
                  <c:v>45333</c:v>
                </c:pt>
                <c:pt idx="78">
                  <c:v>45326</c:v>
                </c:pt>
                <c:pt idx="79">
                  <c:v>45319</c:v>
                </c:pt>
                <c:pt idx="80">
                  <c:v>45312</c:v>
                </c:pt>
                <c:pt idx="81">
                  <c:v>45305</c:v>
                </c:pt>
                <c:pt idx="82">
                  <c:v>45298</c:v>
                </c:pt>
                <c:pt idx="83">
                  <c:v>45291</c:v>
                </c:pt>
                <c:pt idx="84">
                  <c:v>45284</c:v>
                </c:pt>
                <c:pt idx="85">
                  <c:v>45277</c:v>
                </c:pt>
                <c:pt idx="86">
                  <c:v>45270</c:v>
                </c:pt>
                <c:pt idx="87">
                  <c:v>45263</c:v>
                </c:pt>
                <c:pt idx="88">
                  <c:v>45256</c:v>
                </c:pt>
                <c:pt idx="89">
                  <c:v>45249</c:v>
                </c:pt>
                <c:pt idx="90">
                  <c:v>45242</c:v>
                </c:pt>
                <c:pt idx="91">
                  <c:v>45235</c:v>
                </c:pt>
                <c:pt idx="92">
                  <c:v>45228</c:v>
                </c:pt>
                <c:pt idx="93">
                  <c:v>45221</c:v>
                </c:pt>
                <c:pt idx="94">
                  <c:v>45214</c:v>
                </c:pt>
                <c:pt idx="95">
                  <c:v>45207</c:v>
                </c:pt>
                <c:pt idx="96">
                  <c:v>45200</c:v>
                </c:pt>
                <c:pt idx="97">
                  <c:v>45193</c:v>
                </c:pt>
                <c:pt idx="98">
                  <c:v>45186</c:v>
                </c:pt>
                <c:pt idx="99">
                  <c:v>45179</c:v>
                </c:pt>
                <c:pt idx="100">
                  <c:v>45172</c:v>
                </c:pt>
                <c:pt idx="101">
                  <c:v>45165</c:v>
                </c:pt>
                <c:pt idx="102">
                  <c:v>45158</c:v>
                </c:pt>
                <c:pt idx="103">
                  <c:v>45151</c:v>
                </c:pt>
                <c:pt idx="104">
                  <c:v>45144</c:v>
                </c:pt>
                <c:pt idx="105">
                  <c:v>45137</c:v>
                </c:pt>
                <c:pt idx="106">
                  <c:v>45130</c:v>
                </c:pt>
                <c:pt idx="107">
                  <c:v>45123</c:v>
                </c:pt>
                <c:pt idx="108">
                  <c:v>45116</c:v>
                </c:pt>
                <c:pt idx="109">
                  <c:v>45109</c:v>
                </c:pt>
                <c:pt idx="110">
                  <c:v>45102</c:v>
                </c:pt>
                <c:pt idx="111">
                  <c:v>45095</c:v>
                </c:pt>
                <c:pt idx="112">
                  <c:v>45088</c:v>
                </c:pt>
                <c:pt idx="113">
                  <c:v>45081</c:v>
                </c:pt>
                <c:pt idx="114">
                  <c:v>45074</c:v>
                </c:pt>
                <c:pt idx="115">
                  <c:v>45067</c:v>
                </c:pt>
                <c:pt idx="116">
                  <c:v>45060</c:v>
                </c:pt>
                <c:pt idx="117">
                  <c:v>45053</c:v>
                </c:pt>
                <c:pt idx="118">
                  <c:v>45046</c:v>
                </c:pt>
                <c:pt idx="119">
                  <c:v>45039</c:v>
                </c:pt>
                <c:pt idx="120">
                  <c:v>45032</c:v>
                </c:pt>
                <c:pt idx="121">
                  <c:v>45025</c:v>
                </c:pt>
                <c:pt idx="122">
                  <c:v>45018</c:v>
                </c:pt>
                <c:pt idx="123">
                  <c:v>45011</c:v>
                </c:pt>
                <c:pt idx="124">
                  <c:v>45004</c:v>
                </c:pt>
                <c:pt idx="125">
                  <c:v>44997</c:v>
                </c:pt>
                <c:pt idx="126">
                  <c:v>44990</c:v>
                </c:pt>
                <c:pt idx="127">
                  <c:v>44983</c:v>
                </c:pt>
                <c:pt idx="128">
                  <c:v>44976</c:v>
                </c:pt>
                <c:pt idx="129">
                  <c:v>44969</c:v>
                </c:pt>
                <c:pt idx="130">
                  <c:v>44962</c:v>
                </c:pt>
                <c:pt idx="131">
                  <c:v>44955</c:v>
                </c:pt>
                <c:pt idx="132">
                  <c:v>44948</c:v>
                </c:pt>
                <c:pt idx="133">
                  <c:v>44941</c:v>
                </c:pt>
                <c:pt idx="134">
                  <c:v>44934</c:v>
                </c:pt>
                <c:pt idx="135">
                  <c:v>44927</c:v>
                </c:pt>
                <c:pt idx="136">
                  <c:v>44920</c:v>
                </c:pt>
                <c:pt idx="137">
                  <c:v>44913</c:v>
                </c:pt>
                <c:pt idx="138">
                  <c:v>44906</c:v>
                </c:pt>
                <c:pt idx="139">
                  <c:v>44899</c:v>
                </c:pt>
                <c:pt idx="140">
                  <c:v>44892</c:v>
                </c:pt>
                <c:pt idx="141">
                  <c:v>44885</c:v>
                </c:pt>
                <c:pt idx="142">
                  <c:v>44878</c:v>
                </c:pt>
                <c:pt idx="143">
                  <c:v>44871</c:v>
                </c:pt>
                <c:pt idx="144">
                  <c:v>44864</c:v>
                </c:pt>
                <c:pt idx="145">
                  <c:v>44857</c:v>
                </c:pt>
                <c:pt idx="146">
                  <c:v>44850</c:v>
                </c:pt>
                <c:pt idx="147">
                  <c:v>44843</c:v>
                </c:pt>
                <c:pt idx="148">
                  <c:v>44836</c:v>
                </c:pt>
                <c:pt idx="149">
                  <c:v>44829</c:v>
                </c:pt>
                <c:pt idx="150">
                  <c:v>44822</c:v>
                </c:pt>
                <c:pt idx="151">
                  <c:v>44815</c:v>
                </c:pt>
                <c:pt idx="152">
                  <c:v>44808</c:v>
                </c:pt>
                <c:pt idx="153">
                  <c:v>44801</c:v>
                </c:pt>
                <c:pt idx="154">
                  <c:v>44794</c:v>
                </c:pt>
                <c:pt idx="155">
                  <c:v>44787</c:v>
                </c:pt>
                <c:pt idx="156">
                  <c:v>44780</c:v>
                </c:pt>
                <c:pt idx="157">
                  <c:v>44773</c:v>
                </c:pt>
                <c:pt idx="158">
                  <c:v>44766</c:v>
                </c:pt>
                <c:pt idx="159">
                  <c:v>44759</c:v>
                </c:pt>
                <c:pt idx="160">
                  <c:v>44752</c:v>
                </c:pt>
                <c:pt idx="161">
                  <c:v>44745</c:v>
                </c:pt>
                <c:pt idx="162">
                  <c:v>44738</c:v>
                </c:pt>
                <c:pt idx="163">
                  <c:v>44731</c:v>
                </c:pt>
                <c:pt idx="164">
                  <c:v>44724</c:v>
                </c:pt>
                <c:pt idx="165">
                  <c:v>44717</c:v>
                </c:pt>
                <c:pt idx="166">
                  <c:v>44710</c:v>
                </c:pt>
                <c:pt idx="167">
                  <c:v>44703</c:v>
                </c:pt>
                <c:pt idx="168">
                  <c:v>44696</c:v>
                </c:pt>
                <c:pt idx="169">
                  <c:v>44689</c:v>
                </c:pt>
                <c:pt idx="170">
                  <c:v>44682</c:v>
                </c:pt>
                <c:pt idx="171">
                  <c:v>44675</c:v>
                </c:pt>
                <c:pt idx="172">
                  <c:v>44668</c:v>
                </c:pt>
                <c:pt idx="173">
                  <c:v>44661</c:v>
                </c:pt>
                <c:pt idx="174">
                  <c:v>44654</c:v>
                </c:pt>
                <c:pt idx="175">
                  <c:v>44647</c:v>
                </c:pt>
                <c:pt idx="176">
                  <c:v>44640</c:v>
                </c:pt>
                <c:pt idx="177">
                  <c:v>44633</c:v>
                </c:pt>
                <c:pt idx="178">
                  <c:v>44626</c:v>
                </c:pt>
                <c:pt idx="179">
                  <c:v>44619</c:v>
                </c:pt>
                <c:pt idx="180">
                  <c:v>44612</c:v>
                </c:pt>
                <c:pt idx="181">
                  <c:v>44605</c:v>
                </c:pt>
                <c:pt idx="182">
                  <c:v>44598</c:v>
                </c:pt>
                <c:pt idx="183">
                  <c:v>44591</c:v>
                </c:pt>
                <c:pt idx="184">
                  <c:v>44584</c:v>
                </c:pt>
                <c:pt idx="185">
                  <c:v>44577</c:v>
                </c:pt>
                <c:pt idx="186">
                  <c:v>44570</c:v>
                </c:pt>
                <c:pt idx="187">
                  <c:v>44563</c:v>
                </c:pt>
                <c:pt idx="188">
                  <c:v>44556</c:v>
                </c:pt>
                <c:pt idx="189">
                  <c:v>44549</c:v>
                </c:pt>
                <c:pt idx="190">
                  <c:v>44542</c:v>
                </c:pt>
                <c:pt idx="191">
                  <c:v>44535</c:v>
                </c:pt>
                <c:pt idx="192">
                  <c:v>44528</c:v>
                </c:pt>
                <c:pt idx="193">
                  <c:v>44521</c:v>
                </c:pt>
                <c:pt idx="194">
                  <c:v>44514</c:v>
                </c:pt>
                <c:pt idx="195">
                  <c:v>44507</c:v>
                </c:pt>
                <c:pt idx="196">
                  <c:v>44500</c:v>
                </c:pt>
                <c:pt idx="197">
                  <c:v>44493</c:v>
                </c:pt>
                <c:pt idx="198">
                  <c:v>44486</c:v>
                </c:pt>
                <c:pt idx="199">
                  <c:v>44479</c:v>
                </c:pt>
                <c:pt idx="200">
                  <c:v>44472</c:v>
                </c:pt>
                <c:pt idx="201">
                  <c:v>44465</c:v>
                </c:pt>
                <c:pt idx="202">
                  <c:v>44458</c:v>
                </c:pt>
                <c:pt idx="203">
                  <c:v>44451</c:v>
                </c:pt>
                <c:pt idx="204">
                  <c:v>44444</c:v>
                </c:pt>
                <c:pt idx="205">
                  <c:v>44437</c:v>
                </c:pt>
                <c:pt idx="206">
                  <c:v>44430</c:v>
                </c:pt>
                <c:pt idx="207">
                  <c:v>44423</c:v>
                </c:pt>
                <c:pt idx="208">
                  <c:v>44416</c:v>
                </c:pt>
                <c:pt idx="209">
                  <c:v>44409</c:v>
                </c:pt>
                <c:pt idx="210">
                  <c:v>44402</c:v>
                </c:pt>
                <c:pt idx="211">
                  <c:v>44395</c:v>
                </c:pt>
                <c:pt idx="212">
                  <c:v>44388</c:v>
                </c:pt>
                <c:pt idx="213">
                  <c:v>44381</c:v>
                </c:pt>
                <c:pt idx="214">
                  <c:v>44374</c:v>
                </c:pt>
                <c:pt idx="215">
                  <c:v>44367</c:v>
                </c:pt>
                <c:pt idx="216">
                  <c:v>44360</c:v>
                </c:pt>
                <c:pt idx="217">
                  <c:v>44353</c:v>
                </c:pt>
                <c:pt idx="218">
                  <c:v>44346</c:v>
                </c:pt>
                <c:pt idx="219">
                  <c:v>44339</c:v>
                </c:pt>
                <c:pt idx="220">
                  <c:v>44332</c:v>
                </c:pt>
                <c:pt idx="221">
                  <c:v>44325</c:v>
                </c:pt>
                <c:pt idx="222">
                  <c:v>44318</c:v>
                </c:pt>
                <c:pt idx="223">
                  <c:v>44311</c:v>
                </c:pt>
                <c:pt idx="224">
                  <c:v>44304</c:v>
                </c:pt>
                <c:pt idx="225">
                  <c:v>44297</c:v>
                </c:pt>
                <c:pt idx="226">
                  <c:v>44290</c:v>
                </c:pt>
                <c:pt idx="227">
                  <c:v>44283</c:v>
                </c:pt>
                <c:pt idx="228">
                  <c:v>44276</c:v>
                </c:pt>
                <c:pt idx="229">
                  <c:v>44269</c:v>
                </c:pt>
                <c:pt idx="230">
                  <c:v>44262</c:v>
                </c:pt>
                <c:pt idx="231">
                  <c:v>44255</c:v>
                </c:pt>
                <c:pt idx="232">
                  <c:v>44248</c:v>
                </c:pt>
                <c:pt idx="233">
                  <c:v>44241</c:v>
                </c:pt>
                <c:pt idx="234">
                  <c:v>44234</c:v>
                </c:pt>
                <c:pt idx="235">
                  <c:v>44227</c:v>
                </c:pt>
                <c:pt idx="236">
                  <c:v>44220</c:v>
                </c:pt>
                <c:pt idx="237">
                  <c:v>44213</c:v>
                </c:pt>
                <c:pt idx="238">
                  <c:v>44206</c:v>
                </c:pt>
                <c:pt idx="239">
                  <c:v>44199</c:v>
                </c:pt>
                <c:pt idx="240">
                  <c:v>44192</c:v>
                </c:pt>
                <c:pt idx="241">
                  <c:v>44185</c:v>
                </c:pt>
                <c:pt idx="242">
                  <c:v>44178</c:v>
                </c:pt>
                <c:pt idx="243">
                  <c:v>44171</c:v>
                </c:pt>
                <c:pt idx="244">
                  <c:v>44164</c:v>
                </c:pt>
                <c:pt idx="245">
                  <c:v>44157</c:v>
                </c:pt>
                <c:pt idx="246">
                  <c:v>44150</c:v>
                </c:pt>
                <c:pt idx="247">
                  <c:v>44143</c:v>
                </c:pt>
                <c:pt idx="248">
                  <c:v>44136</c:v>
                </c:pt>
                <c:pt idx="249">
                  <c:v>44129</c:v>
                </c:pt>
                <c:pt idx="250">
                  <c:v>44122</c:v>
                </c:pt>
                <c:pt idx="251">
                  <c:v>44115</c:v>
                </c:pt>
                <c:pt idx="252">
                  <c:v>44108</c:v>
                </c:pt>
                <c:pt idx="253">
                  <c:v>44101</c:v>
                </c:pt>
                <c:pt idx="254">
                  <c:v>44094</c:v>
                </c:pt>
                <c:pt idx="255">
                  <c:v>44087</c:v>
                </c:pt>
                <c:pt idx="256">
                  <c:v>44080</c:v>
                </c:pt>
                <c:pt idx="257">
                  <c:v>44073</c:v>
                </c:pt>
                <c:pt idx="258">
                  <c:v>44066</c:v>
                </c:pt>
                <c:pt idx="259">
                  <c:v>44059</c:v>
                </c:pt>
                <c:pt idx="260">
                  <c:v>44052</c:v>
                </c:pt>
              </c:numCache>
            </c:numRef>
          </c:cat>
          <c:val>
            <c:numRef>
              <c:f>Stock!$C$3:$C$263</c:f>
              <c:numCache>
                <c:formatCode>#,##0.00</c:formatCode>
                <c:ptCount val="261"/>
                <c:pt idx="0">
                  <c:v>1389.4</c:v>
                </c:pt>
                <c:pt idx="1">
                  <c:v>1393.7</c:v>
                </c:pt>
                <c:pt idx="2">
                  <c:v>1391.7</c:v>
                </c:pt>
                <c:pt idx="3">
                  <c:v>1476</c:v>
                </c:pt>
                <c:pt idx="4">
                  <c:v>1495.2</c:v>
                </c:pt>
                <c:pt idx="5">
                  <c:v>1527.3</c:v>
                </c:pt>
                <c:pt idx="6">
                  <c:v>1515.4</c:v>
                </c:pt>
                <c:pt idx="7">
                  <c:v>1466.2</c:v>
                </c:pt>
                <c:pt idx="8">
                  <c:v>1427.9</c:v>
                </c:pt>
                <c:pt idx="9">
                  <c:v>1443.5</c:v>
                </c:pt>
                <c:pt idx="10">
                  <c:v>1420.9</c:v>
                </c:pt>
                <c:pt idx="11">
                  <c:v>1426.8</c:v>
                </c:pt>
                <c:pt idx="12">
                  <c:v>1456.4</c:v>
                </c:pt>
                <c:pt idx="13">
                  <c:v>1377.2</c:v>
                </c:pt>
                <c:pt idx="14">
                  <c:v>1422.4</c:v>
                </c:pt>
                <c:pt idx="15">
                  <c:v>1300.4000000000001</c:v>
                </c:pt>
                <c:pt idx="16">
                  <c:v>1274.5</c:v>
                </c:pt>
                <c:pt idx="17">
                  <c:v>1218.95</c:v>
                </c:pt>
                <c:pt idx="18">
                  <c:v>1204.7</c:v>
                </c:pt>
                <c:pt idx="19">
                  <c:v>1275.0999999999999</c:v>
                </c:pt>
                <c:pt idx="20">
                  <c:v>1276.3499999999999</c:v>
                </c:pt>
                <c:pt idx="21">
                  <c:v>1247.9000000000001</c:v>
                </c:pt>
                <c:pt idx="22">
                  <c:v>1249.8</c:v>
                </c:pt>
                <c:pt idx="23">
                  <c:v>1200.0999999999999</c:v>
                </c:pt>
                <c:pt idx="24">
                  <c:v>1228.1500000000001</c:v>
                </c:pt>
                <c:pt idx="25">
                  <c:v>1217.25</c:v>
                </c:pt>
                <c:pt idx="26">
                  <c:v>1266.7</c:v>
                </c:pt>
                <c:pt idx="27">
                  <c:v>1265.0999999999999</c:v>
                </c:pt>
                <c:pt idx="28">
                  <c:v>1246.3</c:v>
                </c:pt>
                <c:pt idx="29">
                  <c:v>1302.3499999999999</c:v>
                </c:pt>
                <c:pt idx="30">
                  <c:v>1241.9000000000001</c:v>
                </c:pt>
                <c:pt idx="31">
                  <c:v>1251.1500000000001</c:v>
                </c:pt>
                <c:pt idx="32">
                  <c:v>1221.05</c:v>
                </c:pt>
                <c:pt idx="33">
                  <c:v>1205.3</c:v>
                </c:pt>
                <c:pt idx="34">
                  <c:v>1272.8499999999999</c:v>
                </c:pt>
                <c:pt idx="35">
                  <c:v>1311.55</c:v>
                </c:pt>
                <c:pt idx="36">
                  <c:v>1292.2</c:v>
                </c:pt>
                <c:pt idx="37">
                  <c:v>1265.4000000000001</c:v>
                </c:pt>
                <c:pt idx="38">
                  <c:v>1267.5999999999999</c:v>
                </c:pt>
                <c:pt idx="39">
                  <c:v>1283.75</c:v>
                </c:pt>
                <c:pt idx="40">
                  <c:v>1338.65</c:v>
                </c:pt>
                <c:pt idx="41">
                  <c:v>1327.85</c:v>
                </c:pt>
                <c:pt idx="42">
                  <c:v>1359.3</c:v>
                </c:pt>
                <c:pt idx="43">
                  <c:v>1372.1</c:v>
                </c:pt>
                <c:pt idx="44">
                  <c:v>1386.53</c:v>
                </c:pt>
                <c:pt idx="45">
                  <c:v>1526.18</c:v>
                </c:pt>
                <c:pt idx="46">
                  <c:v>1485.93</c:v>
                </c:pt>
                <c:pt idx="47">
                  <c:v>1472.63</c:v>
                </c:pt>
                <c:pt idx="48">
                  <c:v>1464.82</c:v>
                </c:pt>
                <c:pt idx="49">
                  <c:v>1509.63</c:v>
                </c:pt>
                <c:pt idx="50">
                  <c:v>1499.97</c:v>
                </c:pt>
                <c:pt idx="51">
                  <c:v>1478.2</c:v>
                </c:pt>
                <c:pt idx="52">
                  <c:v>1474.3</c:v>
                </c:pt>
                <c:pt idx="53">
                  <c:v>1499.32</c:v>
                </c:pt>
                <c:pt idx="54">
                  <c:v>1509.03</c:v>
                </c:pt>
                <c:pt idx="55">
                  <c:v>1555.15</c:v>
                </c:pt>
                <c:pt idx="56">
                  <c:v>1596.72</c:v>
                </c:pt>
                <c:pt idx="57">
                  <c:v>1588.63</c:v>
                </c:pt>
                <c:pt idx="58">
                  <c:v>1565.4</c:v>
                </c:pt>
                <c:pt idx="59">
                  <c:v>1454.2</c:v>
                </c:pt>
                <c:pt idx="60">
                  <c:v>1477.55</c:v>
                </c:pt>
                <c:pt idx="61">
                  <c:v>1469.95</c:v>
                </c:pt>
                <c:pt idx="62">
                  <c:v>1430.4</c:v>
                </c:pt>
                <c:pt idx="63">
                  <c:v>1480.25</c:v>
                </c:pt>
                <c:pt idx="64">
                  <c:v>1435.7</c:v>
                </c:pt>
                <c:pt idx="65">
                  <c:v>1407.43</c:v>
                </c:pt>
                <c:pt idx="66">
                  <c:v>1434</c:v>
                </c:pt>
                <c:pt idx="67">
                  <c:v>1452.55</c:v>
                </c:pt>
                <c:pt idx="68">
                  <c:v>1470.13</c:v>
                </c:pt>
                <c:pt idx="69">
                  <c:v>1467.15</c:v>
                </c:pt>
                <c:pt idx="70">
                  <c:v>1460.1</c:v>
                </c:pt>
                <c:pt idx="71">
                  <c:v>1485.85</c:v>
                </c:pt>
                <c:pt idx="72">
                  <c:v>1455.03</c:v>
                </c:pt>
                <c:pt idx="73">
                  <c:v>1418.22</c:v>
                </c:pt>
                <c:pt idx="74">
                  <c:v>1478.93</c:v>
                </c:pt>
                <c:pt idx="75">
                  <c:v>1492.13</c:v>
                </c:pt>
                <c:pt idx="76">
                  <c:v>1493.63</c:v>
                </c:pt>
                <c:pt idx="77">
                  <c:v>1460.57</c:v>
                </c:pt>
                <c:pt idx="78">
                  <c:v>1460.75</c:v>
                </c:pt>
                <c:pt idx="79">
                  <c:v>1457.7</c:v>
                </c:pt>
                <c:pt idx="80">
                  <c:v>1353.07</c:v>
                </c:pt>
                <c:pt idx="81">
                  <c:v>1367.45</c:v>
                </c:pt>
                <c:pt idx="82">
                  <c:v>1370.72</c:v>
                </c:pt>
                <c:pt idx="83">
                  <c:v>1303.8499999999999</c:v>
                </c:pt>
                <c:pt idx="84">
                  <c:v>1292.47</c:v>
                </c:pt>
                <c:pt idx="85">
                  <c:v>1282.53</c:v>
                </c:pt>
                <c:pt idx="86">
                  <c:v>1247.8</c:v>
                </c:pt>
                <c:pt idx="87">
                  <c:v>1227.8800000000001</c:v>
                </c:pt>
                <c:pt idx="88">
                  <c:v>1197.1500000000001</c:v>
                </c:pt>
                <c:pt idx="89">
                  <c:v>1196.95</c:v>
                </c:pt>
                <c:pt idx="90">
                  <c:v>1177.78</c:v>
                </c:pt>
                <c:pt idx="91">
                  <c:v>1157.45</c:v>
                </c:pt>
                <c:pt idx="92">
                  <c:v>1159.8499999999999</c:v>
                </c:pt>
                <c:pt idx="93">
                  <c:v>1132.9000000000001</c:v>
                </c:pt>
                <c:pt idx="94">
                  <c:v>1149.55</c:v>
                </c:pt>
                <c:pt idx="95">
                  <c:v>1174.6500000000001</c:v>
                </c:pt>
                <c:pt idx="96">
                  <c:v>1159</c:v>
                </c:pt>
                <c:pt idx="97">
                  <c:v>1172.5</c:v>
                </c:pt>
                <c:pt idx="98">
                  <c:v>1177.47</c:v>
                </c:pt>
                <c:pt idx="99">
                  <c:v>1228.93</c:v>
                </c:pt>
                <c:pt idx="100">
                  <c:v>1224.0999999999999</c:v>
                </c:pt>
                <c:pt idx="101">
                  <c:v>1206.32</c:v>
                </c:pt>
                <c:pt idx="102">
                  <c:v>1234.18</c:v>
                </c:pt>
                <c:pt idx="103">
                  <c:v>1278.4000000000001</c:v>
                </c:pt>
                <c:pt idx="104">
                  <c:v>1273.57</c:v>
                </c:pt>
                <c:pt idx="105">
                  <c:v>1254.78</c:v>
                </c:pt>
                <c:pt idx="106">
                  <c:v>1263.93</c:v>
                </c:pt>
                <c:pt idx="107">
                  <c:v>1269.3800000000001</c:v>
                </c:pt>
                <c:pt idx="108">
                  <c:v>1244.08</c:v>
                </c:pt>
                <c:pt idx="109">
                  <c:v>1195.47</c:v>
                </c:pt>
                <c:pt idx="110">
                  <c:v>1157.6300000000001</c:v>
                </c:pt>
                <c:pt idx="111">
                  <c:v>1141.52</c:v>
                </c:pt>
                <c:pt idx="112">
                  <c:v>1169.96</c:v>
                </c:pt>
                <c:pt idx="113">
                  <c:v>1126.6300000000001</c:v>
                </c:pt>
                <c:pt idx="114">
                  <c:v>1114.49</c:v>
                </c:pt>
                <c:pt idx="115">
                  <c:v>1137.77</c:v>
                </c:pt>
                <c:pt idx="116">
                  <c:v>1108.47</c:v>
                </c:pt>
                <c:pt idx="117">
                  <c:v>1127.72</c:v>
                </c:pt>
                <c:pt idx="118">
                  <c:v>1108.3800000000001</c:v>
                </c:pt>
                <c:pt idx="119">
                  <c:v>1098.74</c:v>
                </c:pt>
                <c:pt idx="120">
                  <c:v>1066.28</c:v>
                </c:pt>
                <c:pt idx="121">
                  <c:v>1069.23</c:v>
                </c:pt>
                <c:pt idx="122">
                  <c:v>1062.8499999999999</c:v>
                </c:pt>
                <c:pt idx="123">
                  <c:v>1058.1300000000001</c:v>
                </c:pt>
                <c:pt idx="124">
                  <c:v>1000.14</c:v>
                </c:pt>
                <c:pt idx="125">
                  <c:v>1009.13</c:v>
                </c:pt>
                <c:pt idx="126">
                  <c:v>1054.3399999999999</c:v>
                </c:pt>
                <c:pt idx="127">
                  <c:v>1082.8</c:v>
                </c:pt>
                <c:pt idx="128">
                  <c:v>1082.03</c:v>
                </c:pt>
                <c:pt idx="129">
                  <c:v>1107.68</c:v>
                </c:pt>
                <c:pt idx="130">
                  <c:v>1060.67</c:v>
                </c:pt>
                <c:pt idx="131">
                  <c:v>1057.2</c:v>
                </c:pt>
                <c:pt idx="132">
                  <c:v>1060.99</c:v>
                </c:pt>
                <c:pt idx="133">
                  <c:v>1108.79</c:v>
                </c:pt>
                <c:pt idx="134">
                  <c:v>1120.1199999999999</c:v>
                </c:pt>
                <c:pt idx="135">
                  <c:v>1151.57</c:v>
                </c:pt>
                <c:pt idx="136">
                  <c:v>1156.25</c:v>
                </c:pt>
                <c:pt idx="137">
                  <c:v>1135.82</c:v>
                </c:pt>
                <c:pt idx="138">
                  <c:v>1164.5999999999999</c:v>
                </c:pt>
                <c:pt idx="139">
                  <c:v>1184.3499999999999</c:v>
                </c:pt>
                <c:pt idx="140">
                  <c:v>1235.6600000000001</c:v>
                </c:pt>
                <c:pt idx="141">
                  <c:v>1188.21</c:v>
                </c:pt>
                <c:pt idx="142">
                  <c:v>1179.1500000000001</c:v>
                </c:pt>
                <c:pt idx="143">
                  <c:v>1194.6500000000001</c:v>
                </c:pt>
                <c:pt idx="144">
                  <c:v>1176.93</c:v>
                </c:pt>
                <c:pt idx="145">
                  <c:v>1146.69</c:v>
                </c:pt>
                <c:pt idx="146">
                  <c:v>1121.93</c:v>
                </c:pt>
                <c:pt idx="147">
                  <c:v>1076.1300000000001</c:v>
                </c:pt>
                <c:pt idx="148">
                  <c:v>1104.1099999999999</c:v>
                </c:pt>
                <c:pt idx="149">
                  <c:v>1079.33</c:v>
                </c:pt>
                <c:pt idx="150">
                  <c:v>1107.3599999999999</c:v>
                </c:pt>
                <c:pt idx="151">
                  <c:v>1134.46</c:v>
                </c:pt>
                <c:pt idx="152">
                  <c:v>1166.28</c:v>
                </c:pt>
                <c:pt idx="153">
                  <c:v>1148.67</c:v>
                </c:pt>
                <c:pt idx="154">
                  <c:v>1188.3900000000001</c:v>
                </c:pt>
                <c:pt idx="155">
                  <c:v>1186.5</c:v>
                </c:pt>
                <c:pt idx="156">
                  <c:v>1195.2</c:v>
                </c:pt>
                <c:pt idx="157">
                  <c:v>1150.26</c:v>
                </c:pt>
                <c:pt idx="158">
                  <c:v>1139.1099999999999</c:v>
                </c:pt>
                <c:pt idx="159">
                  <c:v>1136.23</c:v>
                </c:pt>
                <c:pt idx="160">
                  <c:v>1090.25</c:v>
                </c:pt>
                <c:pt idx="161">
                  <c:v>1085.53</c:v>
                </c:pt>
                <c:pt idx="162">
                  <c:v>1093.3800000000001</c:v>
                </c:pt>
                <c:pt idx="163">
                  <c:v>1134.8499999999999</c:v>
                </c:pt>
                <c:pt idx="164">
                  <c:v>1175.68</c:v>
                </c:pt>
                <c:pt idx="165">
                  <c:v>1232.08</c:v>
                </c:pt>
                <c:pt idx="166">
                  <c:v>1261.7</c:v>
                </c:pt>
                <c:pt idx="167">
                  <c:v>1168.9100000000001</c:v>
                </c:pt>
                <c:pt idx="168">
                  <c:v>1191.31</c:v>
                </c:pt>
                <c:pt idx="169">
                  <c:v>1101.51</c:v>
                </c:pt>
                <c:pt idx="170">
                  <c:v>1189.5899999999999</c:v>
                </c:pt>
                <c:pt idx="171">
                  <c:v>1266.58</c:v>
                </c:pt>
                <c:pt idx="172">
                  <c:v>1252.3</c:v>
                </c:pt>
                <c:pt idx="173">
                  <c:v>1158.27</c:v>
                </c:pt>
                <c:pt idx="174">
                  <c:v>1187.32</c:v>
                </c:pt>
                <c:pt idx="175">
                  <c:v>1205.57</c:v>
                </c:pt>
                <c:pt idx="176">
                  <c:v>1178.33</c:v>
                </c:pt>
                <c:pt idx="177">
                  <c:v>1126.52</c:v>
                </c:pt>
                <c:pt idx="178">
                  <c:v>1089.05</c:v>
                </c:pt>
                <c:pt idx="179">
                  <c:v>1055.6400000000001</c:v>
                </c:pt>
                <c:pt idx="180">
                  <c:v>1036.75</c:v>
                </c:pt>
                <c:pt idx="181">
                  <c:v>1100.51</c:v>
                </c:pt>
                <c:pt idx="182">
                  <c:v>1078.72</c:v>
                </c:pt>
                <c:pt idx="183">
                  <c:v>1058.25</c:v>
                </c:pt>
                <c:pt idx="184">
                  <c:v>1060.31</c:v>
                </c:pt>
                <c:pt idx="185">
                  <c:v>1124.77</c:v>
                </c:pt>
                <c:pt idx="186">
                  <c:v>1152.53</c:v>
                </c:pt>
                <c:pt idx="187">
                  <c:v>1105.77</c:v>
                </c:pt>
                <c:pt idx="188">
                  <c:v>1074.97</c:v>
                </c:pt>
                <c:pt idx="189">
                  <c:v>1077.08</c:v>
                </c:pt>
                <c:pt idx="190">
                  <c:v>1062.4000000000001</c:v>
                </c:pt>
                <c:pt idx="191">
                  <c:v>1116.19</c:v>
                </c:pt>
                <c:pt idx="192">
                  <c:v>1093.18</c:v>
                </c:pt>
                <c:pt idx="193">
                  <c:v>1095.1500000000001</c:v>
                </c:pt>
                <c:pt idx="194">
                  <c:v>1122.7</c:v>
                </c:pt>
                <c:pt idx="195">
                  <c:v>1177.08</c:v>
                </c:pt>
                <c:pt idx="196">
                  <c:v>1134.3</c:v>
                </c:pt>
                <c:pt idx="197">
                  <c:v>1151.28</c:v>
                </c:pt>
                <c:pt idx="198">
                  <c:v>1192.6500000000001</c:v>
                </c:pt>
                <c:pt idx="199">
                  <c:v>1225.79</c:v>
                </c:pt>
                <c:pt idx="200">
                  <c:v>1212.56</c:v>
                </c:pt>
                <c:pt idx="201">
                  <c:v>1145.58</c:v>
                </c:pt>
                <c:pt idx="202">
                  <c:v>1126.97</c:v>
                </c:pt>
                <c:pt idx="203">
                  <c:v>1085.1400000000001</c:v>
                </c:pt>
                <c:pt idx="204">
                  <c:v>1101.05</c:v>
                </c:pt>
                <c:pt idx="205">
                  <c:v>1084.21</c:v>
                </c:pt>
                <c:pt idx="206">
                  <c:v>1011.08</c:v>
                </c:pt>
                <c:pt idx="207" formatCode="General">
                  <c:v>975.15</c:v>
                </c:pt>
                <c:pt idx="208" formatCode="General">
                  <c:v>973.97</c:v>
                </c:pt>
                <c:pt idx="209" formatCode="General">
                  <c:v>948.28</c:v>
                </c:pt>
                <c:pt idx="210" formatCode="General">
                  <c:v>923.88</c:v>
                </c:pt>
                <c:pt idx="211" formatCode="General">
                  <c:v>955.84</c:v>
                </c:pt>
                <c:pt idx="212" formatCode="General">
                  <c:v>958.88</c:v>
                </c:pt>
                <c:pt idx="213" formatCode="General">
                  <c:v>940.18</c:v>
                </c:pt>
                <c:pt idx="214" formatCode="General">
                  <c:v>966.44</c:v>
                </c:pt>
                <c:pt idx="215" formatCode="General">
                  <c:v>955.27</c:v>
                </c:pt>
                <c:pt idx="216">
                  <c:v>1010.29</c:v>
                </c:pt>
                <c:pt idx="217">
                  <c:v>1004.61</c:v>
                </c:pt>
                <c:pt idx="218" formatCode="General">
                  <c:v>994.33</c:v>
                </c:pt>
                <c:pt idx="219" formatCode="General">
                  <c:v>950.89</c:v>
                </c:pt>
                <c:pt idx="220" formatCode="General">
                  <c:v>909.02</c:v>
                </c:pt>
                <c:pt idx="221" formatCode="General">
                  <c:v>879.4</c:v>
                </c:pt>
                <c:pt idx="222" formatCode="General">
                  <c:v>876.88</c:v>
                </c:pt>
                <c:pt idx="223" formatCode="General">
                  <c:v>905.36</c:v>
                </c:pt>
                <c:pt idx="224" formatCode="General">
                  <c:v>864.44</c:v>
                </c:pt>
                <c:pt idx="225" formatCode="General">
                  <c:v>877.04</c:v>
                </c:pt>
                <c:pt idx="226" formatCode="General">
                  <c:v>899.71</c:v>
                </c:pt>
                <c:pt idx="227" formatCode="General">
                  <c:v>917.78</c:v>
                </c:pt>
                <c:pt idx="228" formatCode="General">
                  <c:v>905.43</c:v>
                </c:pt>
                <c:pt idx="229" formatCode="General">
                  <c:v>945.08</c:v>
                </c:pt>
                <c:pt idx="230" formatCode="General">
                  <c:v>970.32</c:v>
                </c:pt>
                <c:pt idx="231" formatCode="General">
                  <c:v>988.98</c:v>
                </c:pt>
                <c:pt idx="232" formatCode="General">
                  <c:v>946.81</c:v>
                </c:pt>
                <c:pt idx="233" formatCode="General">
                  <c:v>944.31</c:v>
                </c:pt>
                <c:pt idx="234" formatCode="General">
                  <c:v>926.74</c:v>
                </c:pt>
                <c:pt idx="235" formatCode="General">
                  <c:v>873.25</c:v>
                </c:pt>
                <c:pt idx="236" formatCode="General">
                  <c:v>836.11</c:v>
                </c:pt>
                <c:pt idx="237" formatCode="General">
                  <c:v>930.37</c:v>
                </c:pt>
                <c:pt idx="238" formatCode="General">
                  <c:v>879.47</c:v>
                </c:pt>
                <c:pt idx="239" formatCode="General">
                  <c:v>877.76</c:v>
                </c:pt>
                <c:pt idx="240" formatCode="General">
                  <c:v>902.18</c:v>
                </c:pt>
                <c:pt idx="241" formatCode="General">
                  <c:v>905.2</c:v>
                </c:pt>
                <c:pt idx="242" formatCode="General">
                  <c:v>904.02</c:v>
                </c:pt>
                <c:pt idx="243" formatCode="General">
                  <c:v>910.49</c:v>
                </c:pt>
                <c:pt idx="244" formatCode="General">
                  <c:v>883.69</c:v>
                </c:pt>
                <c:pt idx="245" formatCode="General">
                  <c:v>875.99</c:v>
                </c:pt>
                <c:pt idx="246" formatCode="General">
                  <c:v>862.24</c:v>
                </c:pt>
                <c:pt idx="247" formatCode="General">
                  <c:v>906.22</c:v>
                </c:pt>
                <c:pt idx="248" formatCode="General">
                  <c:v>921.09</c:v>
                </c:pt>
                <c:pt idx="249" formatCode="General">
                  <c:v>932.6</c:v>
                </c:pt>
                <c:pt idx="250" formatCode="General">
                  <c:v>959.18</c:v>
                </c:pt>
                <c:pt idx="251" formatCode="General">
                  <c:v>987.66</c:v>
                </c:pt>
                <c:pt idx="252">
                  <c:v>1013.83</c:v>
                </c:pt>
                <c:pt idx="253">
                  <c:v>1010.11</c:v>
                </c:pt>
                <c:pt idx="254" formatCode="General">
                  <c:v>999.42</c:v>
                </c:pt>
                <c:pt idx="255">
                  <c:v>1046.6300000000001</c:v>
                </c:pt>
                <c:pt idx="256">
                  <c:v>1053</c:v>
                </c:pt>
                <c:pt idx="257" formatCode="General">
                  <c:v>942.92</c:v>
                </c:pt>
                <c:pt idx="258" formatCode="General">
                  <c:v>960.58</c:v>
                </c:pt>
                <c:pt idx="259" formatCode="General">
                  <c:v>945.01</c:v>
                </c:pt>
                <c:pt idx="260" formatCode="General">
                  <c:v>959.52</c:v>
                </c:pt>
              </c:numCache>
            </c:numRef>
          </c:val>
          <c:smooth val="0"/>
          <c:extLst>
            <c:ext xmlns:c16="http://schemas.microsoft.com/office/drawing/2014/chart" uri="{C3380CC4-5D6E-409C-BE32-E72D297353CC}">
              <c16:uniqueId val="{00000000-3BF8-4E05-8954-A5F78D95E6F1}"/>
            </c:ext>
          </c:extLst>
        </c:ser>
        <c:dLbls>
          <c:showLegendKey val="0"/>
          <c:showVal val="0"/>
          <c:showCatName val="0"/>
          <c:showSerName val="0"/>
          <c:showPercent val="0"/>
          <c:showBubbleSize val="0"/>
        </c:dLbls>
        <c:smooth val="0"/>
        <c:axId val="715107504"/>
        <c:axId val="715107024"/>
      </c:lineChart>
      <c:dateAx>
        <c:axId val="71510750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15107024"/>
        <c:crosses val="autoZero"/>
        <c:auto val="0"/>
        <c:lblOffset val="100"/>
        <c:baseTimeUnit val="days"/>
      </c:dateAx>
      <c:valAx>
        <c:axId val="715107024"/>
        <c:scaling>
          <c:orientation val="minMax"/>
          <c:max val="1700"/>
          <c:min val="8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151075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82152230971129"/>
          <c:y val="3.7528036268193753E-2"/>
          <c:w val="0.81540729564493064"/>
          <c:h val="0.76342861065445722"/>
        </c:manualLayout>
      </c:layout>
      <c:lineChart>
        <c:grouping val="standard"/>
        <c:varyColors val="0"/>
        <c:ser>
          <c:idx val="0"/>
          <c:order val="0"/>
          <c:spPr>
            <a:ln w="28575" cap="rnd">
              <a:solidFill>
                <a:srgbClr val="002060"/>
              </a:solidFill>
              <a:round/>
            </a:ln>
            <a:effectLst/>
          </c:spPr>
          <c:marker>
            <c:symbol val="none"/>
          </c:marker>
          <c:cat>
            <c:numRef>
              <c:f>Stock!$B$3:$B$263</c:f>
              <c:numCache>
                <c:formatCode>m/d/yyyy</c:formatCode>
                <c:ptCount val="261"/>
                <c:pt idx="0">
                  <c:v>45872</c:v>
                </c:pt>
                <c:pt idx="1">
                  <c:v>45865</c:v>
                </c:pt>
                <c:pt idx="2">
                  <c:v>45858</c:v>
                </c:pt>
                <c:pt idx="3">
                  <c:v>45851</c:v>
                </c:pt>
                <c:pt idx="4">
                  <c:v>45844</c:v>
                </c:pt>
                <c:pt idx="5">
                  <c:v>45837</c:v>
                </c:pt>
                <c:pt idx="6">
                  <c:v>45830</c:v>
                </c:pt>
                <c:pt idx="7">
                  <c:v>45823</c:v>
                </c:pt>
                <c:pt idx="8">
                  <c:v>45816</c:v>
                </c:pt>
                <c:pt idx="9">
                  <c:v>45809</c:v>
                </c:pt>
                <c:pt idx="10">
                  <c:v>45802</c:v>
                </c:pt>
                <c:pt idx="11">
                  <c:v>45795</c:v>
                </c:pt>
                <c:pt idx="12">
                  <c:v>45788</c:v>
                </c:pt>
                <c:pt idx="13">
                  <c:v>45781</c:v>
                </c:pt>
                <c:pt idx="14">
                  <c:v>45774</c:v>
                </c:pt>
                <c:pt idx="15">
                  <c:v>45767</c:v>
                </c:pt>
                <c:pt idx="16">
                  <c:v>45760</c:v>
                </c:pt>
                <c:pt idx="17">
                  <c:v>45753</c:v>
                </c:pt>
                <c:pt idx="18">
                  <c:v>45746</c:v>
                </c:pt>
                <c:pt idx="19">
                  <c:v>45739</c:v>
                </c:pt>
                <c:pt idx="20">
                  <c:v>45732</c:v>
                </c:pt>
                <c:pt idx="21">
                  <c:v>45725</c:v>
                </c:pt>
                <c:pt idx="22">
                  <c:v>45718</c:v>
                </c:pt>
                <c:pt idx="23">
                  <c:v>45711</c:v>
                </c:pt>
                <c:pt idx="24">
                  <c:v>45704</c:v>
                </c:pt>
                <c:pt idx="25">
                  <c:v>45697</c:v>
                </c:pt>
                <c:pt idx="26">
                  <c:v>45690</c:v>
                </c:pt>
                <c:pt idx="27">
                  <c:v>45683</c:v>
                </c:pt>
                <c:pt idx="28">
                  <c:v>45676</c:v>
                </c:pt>
                <c:pt idx="29">
                  <c:v>45669</c:v>
                </c:pt>
                <c:pt idx="30">
                  <c:v>45662</c:v>
                </c:pt>
                <c:pt idx="31">
                  <c:v>45655</c:v>
                </c:pt>
                <c:pt idx="32">
                  <c:v>45648</c:v>
                </c:pt>
                <c:pt idx="33">
                  <c:v>45641</c:v>
                </c:pt>
                <c:pt idx="34">
                  <c:v>45634</c:v>
                </c:pt>
                <c:pt idx="35">
                  <c:v>45627</c:v>
                </c:pt>
                <c:pt idx="36">
                  <c:v>45620</c:v>
                </c:pt>
                <c:pt idx="37">
                  <c:v>45613</c:v>
                </c:pt>
                <c:pt idx="38">
                  <c:v>45606</c:v>
                </c:pt>
                <c:pt idx="39">
                  <c:v>45599</c:v>
                </c:pt>
                <c:pt idx="40">
                  <c:v>45592</c:v>
                </c:pt>
                <c:pt idx="41">
                  <c:v>45585</c:v>
                </c:pt>
                <c:pt idx="42">
                  <c:v>45578</c:v>
                </c:pt>
                <c:pt idx="43">
                  <c:v>45571</c:v>
                </c:pt>
                <c:pt idx="44">
                  <c:v>45564</c:v>
                </c:pt>
                <c:pt idx="45">
                  <c:v>45557</c:v>
                </c:pt>
                <c:pt idx="46">
                  <c:v>45550</c:v>
                </c:pt>
                <c:pt idx="47">
                  <c:v>45543</c:v>
                </c:pt>
                <c:pt idx="48">
                  <c:v>45536</c:v>
                </c:pt>
                <c:pt idx="49">
                  <c:v>45529</c:v>
                </c:pt>
                <c:pt idx="50">
                  <c:v>45522</c:v>
                </c:pt>
                <c:pt idx="51">
                  <c:v>45515</c:v>
                </c:pt>
                <c:pt idx="52">
                  <c:v>45508</c:v>
                </c:pt>
                <c:pt idx="53">
                  <c:v>45501</c:v>
                </c:pt>
                <c:pt idx="54">
                  <c:v>45494</c:v>
                </c:pt>
                <c:pt idx="55">
                  <c:v>45487</c:v>
                </c:pt>
                <c:pt idx="56">
                  <c:v>45480</c:v>
                </c:pt>
                <c:pt idx="57">
                  <c:v>45473</c:v>
                </c:pt>
                <c:pt idx="58">
                  <c:v>45466</c:v>
                </c:pt>
                <c:pt idx="59">
                  <c:v>45459</c:v>
                </c:pt>
                <c:pt idx="60">
                  <c:v>45452</c:v>
                </c:pt>
                <c:pt idx="61">
                  <c:v>45445</c:v>
                </c:pt>
                <c:pt idx="62">
                  <c:v>45438</c:v>
                </c:pt>
                <c:pt idx="63">
                  <c:v>45431</c:v>
                </c:pt>
                <c:pt idx="64">
                  <c:v>45424</c:v>
                </c:pt>
                <c:pt idx="65">
                  <c:v>45417</c:v>
                </c:pt>
                <c:pt idx="66">
                  <c:v>45410</c:v>
                </c:pt>
                <c:pt idx="67">
                  <c:v>45403</c:v>
                </c:pt>
                <c:pt idx="68">
                  <c:v>45396</c:v>
                </c:pt>
                <c:pt idx="69">
                  <c:v>45389</c:v>
                </c:pt>
                <c:pt idx="70">
                  <c:v>45382</c:v>
                </c:pt>
                <c:pt idx="71">
                  <c:v>45375</c:v>
                </c:pt>
                <c:pt idx="72">
                  <c:v>45368</c:v>
                </c:pt>
                <c:pt idx="73">
                  <c:v>45361</c:v>
                </c:pt>
                <c:pt idx="74">
                  <c:v>45354</c:v>
                </c:pt>
                <c:pt idx="75">
                  <c:v>45347</c:v>
                </c:pt>
                <c:pt idx="76">
                  <c:v>45340</c:v>
                </c:pt>
                <c:pt idx="77">
                  <c:v>45333</c:v>
                </c:pt>
                <c:pt idx="78">
                  <c:v>45326</c:v>
                </c:pt>
                <c:pt idx="79">
                  <c:v>45319</c:v>
                </c:pt>
                <c:pt idx="80">
                  <c:v>45312</c:v>
                </c:pt>
                <c:pt idx="81">
                  <c:v>45305</c:v>
                </c:pt>
                <c:pt idx="82">
                  <c:v>45298</c:v>
                </c:pt>
                <c:pt idx="83">
                  <c:v>45291</c:v>
                </c:pt>
                <c:pt idx="84">
                  <c:v>45284</c:v>
                </c:pt>
                <c:pt idx="85">
                  <c:v>45277</c:v>
                </c:pt>
                <c:pt idx="86">
                  <c:v>45270</c:v>
                </c:pt>
                <c:pt idx="87">
                  <c:v>45263</c:v>
                </c:pt>
                <c:pt idx="88">
                  <c:v>45256</c:v>
                </c:pt>
                <c:pt idx="89">
                  <c:v>45249</c:v>
                </c:pt>
                <c:pt idx="90">
                  <c:v>45242</c:v>
                </c:pt>
                <c:pt idx="91">
                  <c:v>45235</c:v>
                </c:pt>
                <c:pt idx="92">
                  <c:v>45228</c:v>
                </c:pt>
                <c:pt idx="93">
                  <c:v>45221</c:v>
                </c:pt>
                <c:pt idx="94">
                  <c:v>45214</c:v>
                </c:pt>
                <c:pt idx="95">
                  <c:v>45207</c:v>
                </c:pt>
                <c:pt idx="96">
                  <c:v>45200</c:v>
                </c:pt>
                <c:pt idx="97">
                  <c:v>45193</c:v>
                </c:pt>
                <c:pt idx="98">
                  <c:v>45186</c:v>
                </c:pt>
                <c:pt idx="99">
                  <c:v>45179</c:v>
                </c:pt>
                <c:pt idx="100">
                  <c:v>45172</c:v>
                </c:pt>
                <c:pt idx="101">
                  <c:v>45165</c:v>
                </c:pt>
                <c:pt idx="102">
                  <c:v>45158</c:v>
                </c:pt>
                <c:pt idx="103">
                  <c:v>45151</c:v>
                </c:pt>
                <c:pt idx="104">
                  <c:v>45144</c:v>
                </c:pt>
                <c:pt idx="105">
                  <c:v>45137</c:v>
                </c:pt>
                <c:pt idx="106">
                  <c:v>45130</c:v>
                </c:pt>
                <c:pt idx="107">
                  <c:v>45123</c:v>
                </c:pt>
                <c:pt idx="108">
                  <c:v>45116</c:v>
                </c:pt>
                <c:pt idx="109">
                  <c:v>45109</c:v>
                </c:pt>
                <c:pt idx="110">
                  <c:v>45102</c:v>
                </c:pt>
                <c:pt idx="111">
                  <c:v>45095</c:v>
                </c:pt>
                <c:pt idx="112">
                  <c:v>45088</c:v>
                </c:pt>
                <c:pt idx="113">
                  <c:v>45081</c:v>
                </c:pt>
                <c:pt idx="114">
                  <c:v>45074</c:v>
                </c:pt>
                <c:pt idx="115">
                  <c:v>45067</c:v>
                </c:pt>
                <c:pt idx="116">
                  <c:v>45060</c:v>
                </c:pt>
                <c:pt idx="117">
                  <c:v>45053</c:v>
                </c:pt>
                <c:pt idx="118">
                  <c:v>45046</c:v>
                </c:pt>
                <c:pt idx="119">
                  <c:v>45039</c:v>
                </c:pt>
                <c:pt idx="120">
                  <c:v>45032</c:v>
                </c:pt>
                <c:pt idx="121">
                  <c:v>45025</c:v>
                </c:pt>
                <c:pt idx="122">
                  <c:v>45018</c:v>
                </c:pt>
                <c:pt idx="123">
                  <c:v>45011</c:v>
                </c:pt>
                <c:pt idx="124">
                  <c:v>45004</c:v>
                </c:pt>
                <c:pt idx="125">
                  <c:v>44997</c:v>
                </c:pt>
                <c:pt idx="126">
                  <c:v>44990</c:v>
                </c:pt>
                <c:pt idx="127">
                  <c:v>44983</c:v>
                </c:pt>
                <c:pt idx="128">
                  <c:v>44976</c:v>
                </c:pt>
                <c:pt idx="129">
                  <c:v>44969</c:v>
                </c:pt>
                <c:pt idx="130">
                  <c:v>44962</c:v>
                </c:pt>
                <c:pt idx="131">
                  <c:v>44955</c:v>
                </c:pt>
                <c:pt idx="132">
                  <c:v>44948</c:v>
                </c:pt>
                <c:pt idx="133">
                  <c:v>44941</c:v>
                </c:pt>
                <c:pt idx="134">
                  <c:v>44934</c:v>
                </c:pt>
                <c:pt idx="135">
                  <c:v>44927</c:v>
                </c:pt>
                <c:pt idx="136">
                  <c:v>44920</c:v>
                </c:pt>
                <c:pt idx="137">
                  <c:v>44913</c:v>
                </c:pt>
                <c:pt idx="138">
                  <c:v>44906</c:v>
                </c:pt>
                <c:pt idx="139">
                  <c:v>44899</c:v>
                </c:pt>
                <c:pt idx="140">
                  <c:v>44892</c:v>
                </c:pt>
                <c:pt idx="141">
                  <c:v>44885</c:v>
                </c:pt>
                <c:pt idx="142">
                  <c:v>44878</c:v>
                </c:pt>
                <c:pt idx="143">
                  <c:v>44871</c:v>
                </c:pt>
                <c:pt idx="144">
                  <c:v>44864</c:v>
                </c:pt>
                <c:pt idx="145">
                  <c:v>44857</c:v>
                </c:pt>
                <c:pt idx="146">
                  <c:v>44850</c:v>
                </c:pt>
                <c:pt idx="147">
                  <c:v>44843</c:v>
                </c:pt>
                <c:pt idx="148">
                  <c:v>44836</c:v>
                </c:pt>
                <c:pt idx="149">
                  <c:v>44829</c:v>
                </c:pt>
                <c:pt idx="150">
                  <c:v>44822</c:v>
                </c:pt>
                <c:pt idx="151">
                  <c:v>44815</c:v>
                </c:pt>
                <c:pt idx="152">
                  <c:v>44808</c:v>
                </c:pt>
                <c:pt idx="153">
                  <c:v>44801</c:v>
                </c:pt>
                <c:pt idx="154">
                  <c:v>44794</c:v>
                </c:pt>
                <c:pt idx="155">
                  <c:v>44787</c:v>
                </c:pt>
                <c:pt idx="156">
                  <c:v>44780</c:v>
                </c:pt>
                <c:pt idx="157">
                  <c:v>44773</c:v>
                </c:pt>
                <c:pt idx="158">
                  <c:v>44766</c:v>
                </c:pt>
                <c:pt idx="159">
                  <c:v>44759</c:v>
                </c:pt>
                <c:pt idx="160">
                  <c:v>44752</c:v>
                </c:pt>
                <c:pt idx="161">
                  <c:v>44745</c:v>
                </c:pt>
                <c:pt idx="162">
                  <c:v>44738</c:v>
                </c:pt>
                <c:pt idx="163">
                  <c:v>44731</c:v>
                </c:pt>
                <c:pt idx="164">
                  <c:v>44724</c:v>
                </c:pt>
                <c:pt idx="165">
                  <c:v>44717</c:v>
                </c:pt>
                <c:pt idx="166">
                  <c:v>44710</c:v>
                </c:pt>
                <c:pt idx="167">
                  <c:v>44703</c:v>
                </c:pt>
                <c:pt idx="168">
                  <c:v>44696</c:v>
                </c:pt>
                <c:pt idx="169">
                  <c:v>44689</c:v>
                </c:pt>
                <c:pt idx="170">
                  <c:v>44682</c:v>
                </c:pt>
                <c:pt idx="171">
                  <c:v>44675</c:v>
                </c:pt>
                <c:pt idx="172">
                  <c:v>44668</c:v>
                </c:pt>
                <c:pt idx="173">
                  <c:v>44661</c:v>
                </c:pt>
                <c:pt idx="174">
                  <c:v>44654</c:v>
                </c:pt>
                <c:pt idx="175">
                  <c:v>44647</c:v>
                </c:pt>
                <c:pt idx="176">
                  <c:v>44640</c:v>
                </c:pt>
                <c:pt idx="177">
                  <c:v>44633</c:v>
                </c:pt>
                <c:pt idx="178">
                  <c:v>44626</c:v>
                </c:pt>
                <c:pt idx="179">
                  <c:v>44619</c:v>
                </c:pt>
                <c:pt idx="180">
                  <c:v>44612</c:v>
                </c:pt>
                <c:pt idx="181">
                  <c:v>44605</c:v>
                </c:pt>
                <c:pt idx="182">
                  <c:v>44598</c:v>
                </c:pt>
                <c:pt idx="183">
                  <c:v>44591</c:v>
                </c:pt>
                <c:pt idx="184">
                  <c:v>44584</c:v>
                </c:pt>
                <c:pt idx="185">
                  <c:v>44577</c:v>
                </c:pt>
                <c:pt idx="186">
                  <c:v>44570</c:v>
                </c:pt>
                <c:pt idx="187">
                  <c:v>44563</c:v>
                </c:pt>
                <c:pt idx="188">
                  <c:v>44556</c:v>
                </c:pt>
                <c:pt idx="189">
                  <c:v>44549</c:v>
                </c:pt>
                <c:pt idx="190">
                  <c:v>44542</c:v>
                </c:pt>
                <c:pt idx="191">
                  <c:v>44535</c:v>
                </c:pt>
                <c:pt idx="192">
                  <c:v>44528</c:v>
                </c:pt>
                <c:pt idx="193">
                  <c:v>44521</c:v>
                </c:pt>
                <c:pt idx="194">
                  <c:v>44514</c:v>
                </c:pt>
                <c:pt idx="195">
                  <c:v>44507</c:v>
                </c:pt>
                <c:pt idx="196">
                  <c:v>44500</c:v>
                </c:pt>
                <c:pt idx="197">
                  <c:v>44493</c:v>
                </c:pt>
                <c:pt idx="198">
                  <c:v>44486</c:v>
                </c:pt>
                <c:pt idx="199">
                  <c:v>44479</c:v>
                </c:pt>
                <c:pt idx="200">
                  <c:v>44472</c:v>
                </c:pt>
                <c:pt idx="201">
                  <c:v>44465</c:v>
                </c:pt>
                <c:pt idx="202">
                  <c:v>44458</c:v>
                </c:pt>
                <c:pt idx="203">
                  <c:v>44451</c:v>
                </c:pt>
                <c:pt idx="204">
                  <c:v>44444</c:v>
                </c:pt>
                <c:pt idx="205">
                  <c:v>44437</c:v>
                </c:pt>
                <c:pt idx="206">
                  <c:v>44430</c:v>
                </c:pt>
                <c:pt idx="207">
                  <c:v>44423</c:v>
                </c:pt>
                <c:pt idx="208">
                  <c:v>44416</c:v>
                </c:pt>
                <c:pt idx="209">
                  <c:v>44409</c:v>
                </c:pt>
                <c:pt idx="210">
                  <c:v>44402</c:v>
                </c:pt>
                <c:pt idx="211">
                  <c:v>44395</c:v>
                </c:pt>
                <c:pt idx="212">
                  <c:v>44388</c:v>
                </c:pt>
                <c:pt idx="213">
                  <c:v>44381</c:v>
                </c:pt>
                <c:pt idx="214">
                  <c:v>44374</c:v>
                </c:pt>
                <c:pt idx="215">
                  <c:v>44367</c:v>
                </c:pt>
                <c:pt idx="216">
                  <c:v>44360</c:v>
                </c:pt>
                <c:pt idx="217">
                  <c:v>44353</c:v>
                </c:pt>
                <c:pt idx="218">
                  <c:v>44346</c:v>
                </c:pt>
                <c:pt idx="219">
                  <c:v>44339</c:v>
                </c:pt>
                <c:pt idx="220">
                  <c:v>44332</c:v>
                </c:pt>
                <c:pt idx="221">
                  <c:v>44325</c:v>
                </c:pt>
                <c:pt idx="222">
                  <c:v>44318</c:v>
                </c:pt>
                <c:pt idx="223">
                  <c:v>44311</c:v>
                </c:pt>
                <c:pt idx="224">
                  <c:v>44304</c:v>
                </c:pt>
                <c:pt idx="225">
                  <c:v>44297</c:v>
                </c:pt>
                <c:pt idx="226">
                  <c:v>44290</c:v>
                </c:pt>
                <c:pt idx="227">
                  <c:v>44283</c:v>
                </c:pt>
                <c:pt idx="228">
                  <c:v>44276</c:v>
                </c:pt>
                <c:pt idx="229">
                  <c:v>44269</c:v>
                </c:pt>
                <c:pt idx="230">
                  <c:v>44262</c:v>
                </c:pt>
                <c:pt idx="231">
                  <c:v>44255</c:v>
                </c:pt>
                <c:pt idx="232">
                  <c:v>44248</c:v>
                </c:pt>
                <c:pt idx="233">
                  <c:v>44241</c:v>
                </c:pt>
                <c:pt idx="234">
                  <c:v>44234</c:v>
                </c:pt>
                <c:pt idx="235">
                  <c:v>44227</c:v>
                </c:pt>
                <c:pt idx="236">
                  <c:v>44220</c:v>
                </c:pt>
                <c:pt idx="237">
                  <c:v>44213</c:v>
                </c:pt>
                <c:pt idx="238">
                  <c:v>44206</c:v>
                </c:pt>
                <c:pt idx="239">
                  <c:v>44199</c:v>
                </c:pt>
                <c:pt idx="240">
                  <c:v>44192</c:v>
                </c:pt>
                <c:pt idx="241">
                  <c:v>44185</c:v>
                </c:pt>
                <c:pt idx="242">
                  <c:v>44178</c:v>
                </c:pt>
                <c:pt idx="243">
                  <c:v>44171</c:v>
                </c:pt>
                <c:pt idx="244">
                  <c:v>44164</c:v>
                </c:pt>
                <c:pt idx="245">
                  <c:v>44157</c:v>
                </c:pt>
                <c:pt idx="246">
                  <c:v>44150</c:v>
                </c:pt>
                <c:pt idx="247">
                  <c:v>44143</c:v>
                </c:pt>
                <c:pt idx="248">
                  <c:v>44136</c:v>
                </c:pt>
                <c:pt idx="249">
                  <c:v>44129</c:v>
                </c:pt>
                <c:pt idx="250">
                  <c:v>44122</c:v>
                </c:pt>
                <c:pt idx="251">
                  <c:v>44115</c:v>
                </c:pt>
                <c:pt idx="252">
                  <c:v>44108</c:v>
                </c:pt>
                <c:pt idx="253">
                  <c:v>44101</c:v>
                </c:pt>
                <c:pt idx="254">
                  <c:v>44094</c:v>
                </c:pt>
                <c:pt idx="255">
                  <c:v>44087</c:v>
                </c:pt>
                <c:pt idx="256">
                  <c:v>44080</c:v>
                </c:pt>
                <c:pt idx="257">
                  <c:v>44073</c:v>
                </c:pt>
                <c:pt idx="258">
                  <c:v>44066</c:v>
                </c:pt>
                <c:pt idx="259">
                  <c:v>44059</c:v>
                </c:pt>
                <c:pt idx="260">
                  <c:v>44052</c:v>
                </c:pt>
              </c:numCache>
            </c:numRef>
          </c:cat>
          <c:val>
            <c:numRef>
              <c:f>Stock!$J$3:$J$263</c:f>
              <c:numCache>
                <c:formatCode>General</c:formatCode>
                <c:ptCount val="261"/>
                <c:pt idx="0">
                  <c:v>31.44</c:v>
                </c:pt>
                <c:pt idx="1">
                  <c:v>53.1</c:v>
                </c:pt>
                <c:pt idx="2">
                  <c:v>77.790000000000006</c:v>
                </c:pt>
                <c:pt idx="3">
                  <c:v>51.01</c:v>
                </c:pt>
                <c:pt idx="4">
                  <c:v>40.58</c:v>
                </c:pt>
                <c:pt idx="5">
                  <c:v>43.03</c:v>
                </c:pt>
                <c:pt idx="6">
                  <c:v>55.69</c:v>
                </c:pt>
                <c:pt idx="7">
                  <c:v>64.52</c:v>
                </c:pt>
                <c:pt idx="8">
                  <c:v>42.58</c:v>
                </c:pt>
                <c:pt idx="9">
                  <c:v>49.38</c:v>
                </c:pt>
                <c:pt idx="10">
                  <c:v>50.99</c:v>
                </c:pt>
                <c:pt idx="11">
                  <c:v>42.21</c:v>
                </c:pt>
                <c:pt idx="12">
                  <c:v>56.87</c:v>
                </c:pt>
                <c:pt idx="13">
                  <c:v>69.989999999999995</c:v>
                </c:pt>
                <c:pt idx="14">
                  <c:v>106.66</c:v>
                </c:pt>
                <c:pt idx="15">
                  <c:v>58.86</c:v>
                </c:pt>
                <c:pt idx="16">
                  <c:v>37.03</c:v>
                </c:pt>
                <c:pt idx="17">
                  <c:v>63.16</c:v>
                </c:pt>
                <c:pt idx="18">
                  <c:v>47.59</c:v>
                </c:pt>
                <c:pt idx="19">
                  <c:v>79.260000000000005</c:v>
                </c:pt>
                <c:pt idx="20">
                  <c:v>86.3</c:v>
                </c:pt>
                <c:pt idx="21">
                  <c:v>43.5</c:v>
                </c:pt>
                <c:pt idx="22">
                  <c:v>68.930000000000007</c:v>
                </c:pt>
                <c:pt idx="23">
                  <c:v>53.24</c:v>
                </c:pt>
                <c:pt idx="24">
                  <c:v>35.76</c:v>
                </c:pt>
                <c:pt idx="25">
                  <c:v>55.77</c:v>
                </c:pt>
                <c:pt idx="26">
                  <c:v>61.89</c:v>
                </c:pt>
                <c:pt idx="27">
                  <c:v>41.89</c:v>
                </c:pt>
                <c:pt idx="28">
                  <c:v>61.83</c:v>
                </c:pt>
                <c:pt idx="29">
                  <c:v>79.92</c:v>
                </c:pt>
                <c:pt idx="30">
                  <c:v>65.150000000000006</c:v>
                </c:pt>
                <c:pt idx="31">
                  <c:v>52.12</c:v>
                </c:pt>
                <c:pt idx="32">
                  <c:v>33.799999999999997</c:v>
                </c:pt>
                <c:pt idx="33">
                  <c:v>74.180000000000007</c:v>
                </c:pt>
                <c:pt idx="34">
                  <c:v>91.96</c:v>
                </c:pt>
                <c:pt idx="35">
                  <c:v>73.400000000000006</c:v>
                </c:pt>
                <c:pt idx="36">
                  <c:v>75.97</c:v>
                </c:pt>
                <c:pt idx="37">
                  <c:v>67.709999999999994</c:v>
                </c:pt>
                <c:pt idx="38">
                  <c:v>46.97</c:v>
                </c:pt>
                <c:pt idx="39">
                  <c:v>87.12</c:v>
                </c:pt>
                <c:pt idx="40">
                  <c:v>46.28</c:v>
                </c:pt>
                <c:pt idx="41">
                  <c:v>87.87</c:v>
                </c:pt>
                <c:pt idx="42">
                  <c:v>93.65</c:v>
                </c:pt>
                <c:pt idx="43">
                  <c:v>83.85</c:v>
                </c:pt>
                <c:pt idx="44">
                  <c:v>118.27</c:v>
                </c:pt>
                <c:pt idx="45">
                  <c:v>72.459999999999994</c:v>
                </c:pt>
                <c:pt idx="46">
                  <c:v>67.849999999999994</c:v>
                </c:pt>
                <c:pt idx="47">
                  <c:v>60.6</c:v>
                </c:pt>
                <c:pt idx="48">
                  <c:v>69.81</c:v>
                </c:pt>
                <c:pt idx="49">
                  <c:v>104.63</c:v>
                </c:pt>
                <c:pt idx="50">
                  <c:v>49.68</c:v>
                </c:pt>
                <c:pt idx="51">
                  <c:v>30.13</c:v>
                </c:pt>
                <c:pt idx="52">
                  <c:v>54.09</c:v>
                </c:pt>
                <c:pt idx="53">
                  <c:v>46.86</c:v>
                </c:pt>
                <c:pt idx="54">
                  <c:v>72.02</c:v>
                </c:pt>
                <c:pt idx="55">
                  <c:v>40.159999999999997</c:v>
                </c:pt>
                <c:pt idx="56">
                  <c:v>48.46</c:v>
                </c:pt>
                <c:pt idx="57">
                  <c:v>43.63</c:v>
                </c:pt>
                <c:pt idx="58">
                  <c:v>95.28</c:v>
                </c:pt>
                <c:pt idx="59">
                  <c:v>63.21</c:v>
                </c:pt>
                <c:pt idx="60">
                  <c:v>48.45</c:v>
                </c:pt>
                <c:pt idx="61">
                  <c:v>112.12</c:v>
                </c:pt>
                <c:pt idx="62">
                  <c:v>66.11</c:v>
                </c:pt>
                <c:pt idx="63">
                  <c:v>43.59</c:v>
                </c:pt>
                <c:pt idx="64">
                  <c:v>46.32</c:v>
                </c:pt>
                <c:pt idx="65">
                  <c:v>52.87</c:v>
                </c:pt>
                <c:pt idx="66">
                  <c:v>50.46</c:v>
                </c:pt>
                <c:pt idx="67">
                  <c:v>60.78</c:v>
                </c:pt>
                <c:pt idx="68">
                  <c:v>57.02</c:v>
                </c:pt>
                <c:pt idx="69">
                  <c:v>40.119999999999997</c:v>
                </c:pt>
                <c:pt idx="70">
                  <c:v>42.87</c:v>
                </c:pt>
                <c:pt idx="71">
                  <c:v>49.6</c:v>
                </c:pt>
                <c:pt idx="72">
                  <c:v>58.47</c:v>
                </c:pt>
                <c:pt idx="73">
                  <c:v>72.03</c:v>
                </c:pt>
                <c:pt idx="74">
                  <c:v>33.97</c:v>
                </c:pt>
                <c:pt idx="75">
                  <c:v>62.75</c:v>
                </c:pt>
                <c:pt idx="76">
                  <c:v>59.5</c:v>
                </c:pt>
                <c:pt idx="77">
                  <c:v>41.28</c:v>
                </c:pt>
                <c:pt idx="78">
                  <c:v>54.41</c:v>
                </c:pt>
                <c:pt idx="79">
                  <c:v>86.12</c:v>
                </c:pt>
                <c:pt idx="80">
                  <c:v>61.07</c:v>
                </c:pt>
                <c:pt idx="81">
                  <c:v>50.58</c:v>
                </c:pt>
                <c:pt idx="82">
                  <c:v>62.98</c:v>
                </c:pt>
                <c:pt idx="83">
                  <c:v>38.22</c:v>
                </c:pt>
                <c:pt idx="84">
                  <c:v>39.840000000000003</c:v>
                </c:pt>
                <c:pt idx="85">
                  <c:v>79.03</c:v>
                </c:pt>
                <c:pt idx="86">
                  <c:v>59.2</c:v>
                </c:pt>
                <c:pt idx="87">
                  <c:v>63.05</c:v>
                </c:pt>
                <c:pt idx="88">
                  <c:v>69.11</c:v>
                </c:pt>
                <c:pt idx="89">
                  <c:v>36.520000000000003</c:v>
                </c:pt>
                <c:pt idx="90">
                  <c:v>38.39</c:v>
                </c:pt>
                <c:pt idx="91">
                  <c:v>47.74</c:v>
                </c:pt>
                <c:pt idx="92">
                  <c:v>59.34</c:v>
                </c:pt>
                <c:pt idx="93">
                  <c:v>46.47</c:v>
                </c:pt>
                <c:pt idx="94">
                  <c:v>43.72</c:v>
                </c:pt>
                <c:pt idx="95">
                  <c:v>50.33</c:v>
                </c:pt>
                <c:pt idx="96">
                  <c:v>35.53</c:v>
                </c:pt>
                <c:pt idx="97">
                  <c:v>62.93</c:v>
                </c:pt>
                <c:pt idx="98">
                  <c:v>96</c:v>
                </c:pt>
                <c:pt idx="99">
                  <c:v>77.010000000000005</c:v>
                </c:pt>
                <c:pt idx="100">
                  <c:v>62.99</c:v>
                </c:pt>
                <c:pt idx="101">
                  <c:v>81.38</c:v>
                </c:pt>
                <c:pt idx="102">
                  <c:v>62.82</c:v>
                </c:pt>
                <c:pt idx="103">
                  <c:v>52.09</c:v>
                </c:pt>
                <c:pt idx="104">
                  <c:v>64.959999999999994</c:v>
                </c:pt>
                <c:pt idx="105">
                  <c:v>63.89</c:v>
                </c:pt>
                <c:pt idx="106">
                  <c:v>86.72</c:v>
                </c:pt>
                <c:pt idx="107">
                  <c:v>149.46</c:v>
                </c:pt>
                <c:pt idx="108">
                  <c:v>94.01</c:v>
                </c:pt>
                <c:pt idx="109">
                  <c:v>58.11</c:v>
                </c:pt>
                <c:pt idx="110">
                  <c:v>41.38</c:v>
                </c:pt>
                <c:pt idx="111">
                  <c:v>32.24</c:v>
                </c:pt>
                <c:pt idx="112">
                  <c:v>61.75</c:v>
                </c:pt>
                <c:pt idx="113">
                  <c:v>43.07</c:v>
                </c:pt>
                <c:pt idx="114">
                  <c:v>72.78</c:v>
                </c:pt>
                <c:pt idx="115">
                  <c:v>42.23</c:v>
                </c:pt>
                <c:pt idx="116">
                  <c:v>39.619999999999997</c:v>
                </c:pt>
                <c:pt idx="117">
                  <c:v>40.619999999999997</c:v>
                </c:pt>
                <c:pt idx="118">
                  <c:v>34.54</c:v>
                </c:pt>
                <c:pt idx="119">
                  <c:v>51.25</c:v>
                </c:pt>
                <c:pt idx="120">
                  <c:v>51.01</c:v>
                </c:pt>
                <c:pt idx="121">
                  <c:v>49.9</c:v>
                </c:pt>
                <c:pt idx="122">
                  <c:v>41.53</c:v>
                </c:pt>
                <c:pt idx="123">
                  <c:v>67.94</c:v>
                </c:pt>
                <c:pt idx="124">
                  <c:v>74.27</c:v>
                </c:pt>
                <c:pt idx="125">
                  <c:v>94.98</c:v>
                </c:pt>
                <c:pt idx="126">
                  <c:v>51.25</c:v>
                </c:pt>
                <c:pt idx="127">
                  <c:v>63.43</c:v>
                </c:pt>
                <c:pt idx="128">
                  <c:v>48.42</c:v>
                </c:pt>
                <c:pt idx="129">
                  <c:v>80.53</c:v>
                </c:pt>
                <c:pt idx="130">
                  <c:v>69.31</c:v>
                </c:pt>
                <c:pt idx="131">
                  <c:v>94.31</c:v>
                </c:pt>
                <c:pt idx="132">
                  <c:v>60.6</c:v>
                </c:pt>
                <c:pt idx="133">
                  <c:v>59.71</c:v>
                </c:pt>
                <c:pt idx="134">
                  <c:v>63.31</c:v>
                </c:pt>
                <c:pt idx="135">
                  <c:v>38.979999999999997</c:v>
                </c:pt>
                <c:pt idx="136">
                  <c:v>30.86</c:v>
                </c:pt>
                <c:pt idx="137">
                  <c:v>38.24</c:v>
                </c:pt>
                <c:pt idx="138">
                  <c:v>45.79</c:v>
                </c:pt>
                <c:pt idx="139">
                  <c:v>48.27</c:v>
                </c:pt>
                <c:pt idx="140">
                  <c:v>82.91</c:v>
                </c:pt>
                <c:pt idx="141">
                  <c:v>33.369999999999997</c:v>
                </c:pt>
                <c:pt idx="142">
                  <c:v>34.9</c:v>
                </c:pt>
                <c:pt idx="143">
                  <c:v>38.14</c:v>
                </c:pt>
                <c:pt idx="144">
                  <c:v>50.43</c:v>
                </c:pt>
                <c:pt idx="145">
                  <c:v>42.21</c:v>
                </c:pt>
                <c:pt idx="146">
                  <c:v>60.32</c:v>
                </c:pt>
                <c:pt idx="147">
                  <c:v>36.36</c:v>
                </c:pt>
                <c:pt idx="148">
                  <c:v>38.64</c:v>
                </c:pt>
                <c:pt idx="149">
                  <c:v>72.84</c:v>
                </c:pt>
                <c:pt idx="150">
                  <c:v>41.57</c:v>
                </c:pt>
                <c:pt idx="151">
                  <c:v>51.31</c:v>
                </c:pt>
                <c:pt idx="152">
                  <c:v>41.62</c:v>
                </c:pt>
                <c:pt idx="153">
                  <c:v>70.040000000000006</c:v>
                </c:pt>
                <c:pt idx="154">
                  <c:v>44.43</c:v>
                </c:pt>
                <c:pt idx="155">
                  <c:v>27.76</c:v>
                </c:pt>
                <c:pt idx="156">
                  <c:v>38.53</c:v>
                </c:pt>
                <c:pt idx="157">
                  <c:v>66.709999999999994</c:v>
                </c:pt>
                <c:pt idx="158">
                  <c:v>65.25</c:v>
                </c:pt>
                <c:pt idx="159">
                  <c:v>76.63</c:v>
                </c:pt>
                <c:pt idx="160">
                  <c:v>60.39</c:v>
                </c:pt>
                <c:pt idx="161">
                  <c:v>116.08</c:v>
                </c:pt>
                <c:pt idx="162">
                  <c:v>141.55000000000001</c:v>
                </c:pt>
                <c:pt idx="163">
                  <c:v>62.85</c:v>
                </c:pt>
                <c:pt idx="164">
                  <c:v>78.55</c:v>
                </c:pt>
                <c:pt idx="165">
                  <c:v>65.81</c:v>
                </c:pt>
                <c:pt idx="166">
                  <c:v>129.51</c:v>
                </c:pt>
                <c:pt idx="167">
                  <c:v>70.06</c:v>
                </c:pt>
                <c:pt idx="168">
                  <c:v>77.31</c:v>
                </c:pt>
                <c:pt idx="169">
                  <c:v>86.8</c:v>
                </c:pt>
                <c:pt idx="170">
                  <c:v>60.53</c:v>
                </c:pt>
                <c:pt idx="171">
                  <c:v>85.34</c:v>
                </c:pt>
                <c:pt idx="172">
                  <c:v>90.41</c:v>
                </c:pt>
                <c:pt idx="173">
                  <c:v>30.3</c:v>
                </c:pt>
                <c:pt idx="174">
                  <c:v>59.06</c:v>
                </c:pt>
                <c:pt idx="175">
                  <c:v>51.26</c:v>
                </c:pt>
                <c:pt idx="176">
                  <c:v>71.45</c:v>
                </c:pt>
                <c:pt idx="177">
                  <c:v>52.46</c:v>
                </c:pt>
                <c:pt idx="178">
                  <c:v>83</c:v>
                </c:pt>
                <c:pt idx="179">
                  <c:v>58.85</c:v>
                </c:pt>
                <c:pt idx="180">
                  <c:v>65.84</c:v>
                </c:pt>
                <c:pt idx="181">
                  <c:v>47.95</c:v>
                </c:pt>
                <c:pt idx="182">
                  <c:v>57.84</c:v>
                </c:pt>
                <c:pt idx="183">
                  <c:v>51.68</c:v>
                </c:pt>
                <c:pt idx="184">
                  <c:v>74.83</c:v>
                </c:pt>
                <c:pt idx="185">
                  <c:v>49.69</c:v>
                </c:pt>
                <c:pt idx="186">
                  <c:v>66.489999999999995</c:v>
                </c:pt>
                <c:pt idx="187">
                  <c:v>51.2</c:v>
                </c:pt>
                <c:pt idx="188">
                  <c:v>59.65</c:v>
                </c:pt>
                <c:pt idx="189">
                  <c:v>57.02</c:v>
                </c:pt>
                <c:pt idx="190">
                  <c:v>60.98</c:v>
                </c:pt>
                <c:pt idx="191">
                  <c:v>47.89</c:v>
                </c:pt>
                <c:pt idx="192">
                  <c:v>90.96</c:v>
                </c:pt>
                <c:pt idx="193">
                  <c:v>114.86</c:v>
                </c:pt>
                <c:pt idx="194">
                  <c:v>32.17</c:v>
                </c:pt>
                <c:pt idx="195">
                  <c:v>60.65</c:v>
                </c:pt>
                <c:pt idx="196">
                  <c:v>36.69</c:v>
                </c:pt>
                <c:pt idx="197">
                  <c:v>56.27</c:v>
                </c:pt>
                <c:pt idx="198">
                  <c:v>61.84</c:v>
                </c:pt>
                <c:pt idx="199">
                  <c:v>36.950000000000003</c:v>
                </c:pt>
                <c:pt idx="200">
                  <c:v>52.45</c:v>
                </c:pt>
                <c:pt idx="201">
                  <c:v>60.62</c:v>
                </c:pt>
                <c:pt idx="202">
                  <c:v>58.73</c:v>
                </c:pt>
                <c:pt idx="203">
                  <c:v>76.260000000000005</c:v>
                </c:pt>
                <c:pt idx="204">
                  <c:v>68.540000000000006</c:v>
                </c:pt>
                <c:pt idx="205">
                  <c:v>85.17</c:v>
                </c:pt>
                <c:pt idx="206">
                  <c:v>59.23</c:v>
                </c:pt>
                <c:pt idx="207">
                  <c:v>49.93</c:v>
                </c:pt>
                <c:pt idx="208">
                  <c:v>45.7</c:v>
                </c:pt>
                <c:pt idx="209">
                  <c:v>68.099999999999994</c:v>
                </c:pt>
                <c:pt idx="210">
                  <c:v>56.51</c:v>
                </c:pt>
                <c:pt idx="211">
                  <c:v>30.46</c:v>
                </c:pt>
                <c:pt idx="212">
                  <c:v>38.869999999999997</c:v>
                </c:pt>
                <c:pt idx="213">
                  <c:v>48.41</c:v>
                </c:pt>
                <c:pt idx="214">
                  <c:v>86.58</c:v>
                </c:pt>
                <c:pt idx="215">
                  <c:v>174.01</c:v>
                </c:pt>
                <c:pt idx="216">
                  <c:v>84.38</c:v>
                </c:pt>
                <c:pt idx="217">
                  <c:v>60.31</c:v>
                </c:pt>
                <c:pt idx="218">
                  <c:v>138.63999999999999</c:v>
                </c:pt>
                <c:pt idx="219">
                  <c:v>105.32</c:v>
                </c:pt>
                <c:pt idx="220">
                  <c:v>57.65</c:v>
                </c:pt>
                <c:pt idx="221">
                  <c:v>49.74</c:v>
                </c:pt>
                <c:pt idx="222">
                  <c:v>78.27</c:v>
                </c:pt>
                <c:pt idx="223">
                  <c:v>87.87</c:v>
                </c:pt>
                <c:pt idx="224">
                  <c:v>57.23</c:v>
                </c:pt>
                <c:pt idx="225">
                  <c:v>69.87</c:v>
                </c:pt>
                <c:pt idx="226">
                  <c:v>76.2</c:v>
                </c:pt>
                <c:pt idx="227">
                  <c:v>44.69</c:v>
                </c:pt>
                <c:pt idx="228">
                  <c:v>87.68</c:v>
                </c:pt>
                <c:pt idx="229">
                  <c:v>103.58</c:v>
                </c:pt>
                <c:pt idx="230">
                  <c:v>58.19</c:v>
                </c:pt>
                <c:pt idx="231">
                  <c:v>104.95</c:v>
                </c:pt>
                <c:pt idx="232">
                  <c:v>122.38</c:v>
                </c:pt>
                <c:pt idx="233">
                  <c:v>95.08</c:v>
                </c:pt>
                <c:pt idx="234">
                  <c:v>124.66</c:v>
                </c:pt>
                <c:pt idx="235">
                  <c:v>140.13999999999999</c:v>
                </c:pt>
                <c:pt idx="236">
                  <c:v>160.93</c:v>
                </c:pt>
                <c:pt idx="237">
                  <c:v>154.74</c:v>
                </c:pt>
                <c:pt idx="238">
                  <c:v>132.21</c:v>
                </c:pt>
                <c:pt idx="239">
                  <c:v>142.97999999999999</c:v>
                </c:pt>
                <c:pt idx="240">
                  <c:v>80</c:v>
                </c:pt>
                <c:pt idx="241">
                  <c:v>103.89</c:v>
                </c:pt>
                <c:pt idx="242">
                  <c:v>85.97</c:v>
                </c:pt>
                <c:pt idx="243">
                  <c:v>123.53</c:v>
                </c:pt>
                <c:pt idx="244">
                  <c:v>81.400000000000006</c:v>
                </c:pt>
                <c:pt idx="245">
                  <c:v>168.06</c:v>
                </c:pt>
                <c:pt idx="246">
                  <c:v>154.55000000000001</c:v>
                </c:pt>
                <c:pt idx="247">
                  <c:v>198.38</c:v>
                </c:pt>
                <c:pt idx="248">
                  <c:v>343.46</c:v>
                </c:pt>
                <c:pt idx="249">
                  <c:v>155.44</c:v>
                </c:pt>
                <c:pt idx="250">
                  <c:v>127.37</c:v>
                </c:pt>
                <c:pt idx="251">
                  <c:v>97.56</c:v>
                </c:pt>
                <c:pt idx="252">
                  <c:v>120.11</c:v>
                </c:pt>
                <c:pt idx="253">
                  <c:v>83.77</c:v>
                </c:pt>
                <c:pt idx="254">
                  <c:v>156.55000000000001</c:v>
                </c:pt>
                <c:pt idx="255">
                  <c:v>151.46</c:v>
                </c:pt>
                <c:pt idx="256">
                  <c:v>280.97000000000003</c:v>
                </c:pt>
                <c:pt idx="257">
                  <c:v>161.26</c:v>
                </c:pt>
                <c:pt idx="258">
                  <c:v>154.36000000000001</c:v>
                </c:pt>
                <c:pt idx="259">
                  <c:v>132.38999999999999</c:v>
                </c:pt>
                <c:pt idx="260">
                  <c:v>149.63</c:v>
                </c:pt>
              </c:numCache>
            </c:numRef>
          </c:val>
          <c:smooth val="0"/>
          <c:extLst>
            <c:ext xmlns:c16="http://schemas.microsoft.com/office/drawing/2014/chart" uri="{C3380CC4-5D6E-409C-BE32-E72D297353CC}">
              <c16:uniqueId val="{00000006-74D1-4A8F-8404-63A686740BD6}"/>
            </c:ext>
          </c:extLst>
        </c:ser>
        <c:dLbls>
          <c:showLegendKey val="0"/>
          <c:showVal val="0"/>
          <c:showCatName val="0"/>
          <c:showSerName val="0"/>
          <c:showPercent val="0"/>
          <c:showBubbleSize val="0"/>
        </c:dLbls>
        <c:smooth val="0"/>
        <c:axId val="715107504"/>
        <c:axId val="715107024"/>
      </c:lineChart>
      <c:dateAx>
        <c:axId val="71510750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15107024"/>
        <c:crosses val="autoZero"/>
        <c:auto val="0"/>
        <c:lblOffset val="100"/>
        <c:baseTimeUnit val="days"/>
      </c:dateAx>
      <c:valAx>
        <c:axId val="7151070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15107504"/>
        <c:crosses val="autoZero"/>
        <c:crossBetween val="between"/>
      </c:valAx>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73024343521042"/>
          <c:y val="4.9649248389405876E-2"/>
          <c:w val="0.619514622283589"/>
          <c:h val="0.8242863067430356"/>
        </c:manualLayout>
      </c:layout>
      <c:barChart>
        <c:barDir val="bar"/>
        <c:grouping val="clustered"/>
        <c:varyColors val="0"/>
        <c:ser>
          <c:idx val="0"/>
          <c:order val="0"/>
          <c:spPr>
            <a:solidFill>
              <a:srgbClr val="002060"/>
            </a:solidFill>
            <a:ln w="28575" cap="rnd">
              <a:solidFill>
                <a:srgbClr val="002060"/>
              </a:solidFill>
              <a:round/>
            </a:ln>
            <a:effectLst/>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Stock!$P$28:$P$31</c:f>
              <c:strCache>
                <c:ptCount val="4"/>
                <c:pt idx="0">
                  <c:v>Promoters</c:v>
                </c:pt>
                <c:pt idx="1">
                  <c:v>FIIS</c:v>
                </c:pt>
                <c:pt idx="2">
                  <c:v>DIIS</c:v>
                </c:pt>
                <c:pt idx="3">
                  <c:v>Public</c:v>
                </c:pt>
              </c:strCache>
            </c:strRef>
          </c:cat>
          <c:val>
            <c:numRef>
              <c:f>Stock!$Q$28:$Q$31</c:f>
              <c:numCache>
                <c:formatCode>0.00%</c:formatCode>
                <c:ptCount val="4"/>
                <c:pt idx="0">
                  <c:v>0.50070000000000003</c:v>
                </c:pt>
                <c:pt idx="1">
                  <c:v>0.19070000000000001</c:v>
                </c:pt>
                <c:pt idx="2">
                  <c:v>0.19722000000000001</c:v>
                </c:pt>
                <c:pt idx="3">
                  <c:v>0.1084</c:v>
                </c:pt>
              </c:numCache>
            </c:numRef>
          </c:val>
          <c:extLst>
            <c:ext xmlns:c16="http://schemas.microsoft.com/office/drawing/2014/chart" uri="{C3380CC4-5D6E-409C-BE32-E72D297353CC}">
              <c16:uniqueId val="{00000002-F662-441E-B5DF-B77D08650373}"/>
            </c:ext>
          </c:extLst>
        </c:ser>
        <c:dLbls>
          <c:showLegendKey val="0"/>
          <c:showVal val="0"/>
          <c:showCatName val="0"/>
          <c:showSerName val="0"/>
          <c:showPercent val="0"/>
          <c:showBubbleSize val="0"/>
        </c:dLbls>
        <c:gapWidth val="150"/>
        <c:axId val="715107504"/>
        <c:axId val="715107024"/>
      </c:barChart>
      <c:dateAx>
        <c:axId val="715107504"/>
        <c:scaling>
          <c:orientation val="minMax"/>
        </c:scaling>
        <c:delete val="0"/>
        <c:axPos val="l"/>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15107024"/>
        <c:crosses val="autoZero"/>
        <c:auto val="0"/>
        <c:lblOffset val="100"/>
        <c:baseTimeUnit val="days"/>
      </c:dateAx>
      <c:valAx>
        <c:axId val="715107024"/>
        <c:scaling>
          <c:orientation val="minMax"/>
          <c:max val="0.60000000000000009"/>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15107504"/>
        <c:crosses val="autoZero"/>
        <c:crossBetween val="between"/>
      </c:valAx>
      <c:spPr>
        <a:noFill/>
        <a:ln>
          <a:noFill/>
        </a:ln>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05555555555553E-2"/>
          <c:y val="3.7453703703703718E-2"/>
          <c:w val="0.86021522309711285"/>
          <c:h val="0.85514690871974319"/>
        </c:manualLayout>
      </c:layout>
      <c:barChart>
        <c:barDir val="bar"/>
        <c:grouping val="clustered"/>
        <c:varyColors val="0"/>
        <c:ser>
          <c:idx val="0"/>
          <c:order val="0"/>
          <c:tx>
            <c:strRef>
              <c:f>Forecasting!$E$10</c:f>
              <c:strCache>
                <c:ptCount val="1"/>
              </c:strCache>
            </c:strRef>
          </c:tx>
          <c:spPr>
            <a:solidFill>
              <a:schemeClr val="accent1"/>
            </a:solidFill>
            <a:ln>
              <a:noFill/>
            </a:ln>
            <a:effectLst/>
          </c:spPr>
          <c:invertIfNegative val="0"/>
          <c:val>
            <c:numRef>
              <c:f>Forecasting!$E$11:$E$24</c:f>
              <c:numCache>
                <c:formatCode>0.00%</c:formatCode>
                <c:ptCount val="14"/>
                <c:pt idx="0">
                  <c:v>0.11508788148930793</c:v>
                </c:pt>
                <c:pt idx="1">
                  <c:v>0.28579653500200686</c:v>
                </c:pt>
                <c:pt idx="2">
                  <c:v>0.45420561225925793</c:v>
                </c:pt>
                <c:pt idx="3">
                  <c:v>4.9868299969912266E-2</c:v>
                </c:pt>
                <c:pt idx="4">
                  <c:v>-0.21849604226057895</c:v>
                </c:pt>
                <c:pt idx="5">
                  <c:v>0.48973315862725619</c:v>
                </c:pt>
                <c:pt idx="6">
                  <c:v>0.26159502384575184</c:v>
                </c:pt>
                <c:pt idx="7">
                  <c:v>2.5838776078393799E-2</c:v>
                </c:pt>
                <c:pt idx="8">
                  <c:v>7.30244783052163E-2</c:v>
                </c:pt>
                <c:pt idx="9">
                  <c:v>7.7080411419315098E-2</c:v>
                </c:pt>
                <c:pt idx="10">
                  <c:v>7.6241413289757087E-2</c:v>
                </c:pt>
                <c:pt idx="11">
                  <c:v>7.084043816592156E-2</c:v>
                </c:pt>
                <c:pt idx="12">
                  <c:v>6.6154055862191141E-2</c:v>
                </c:pt>
                <c:pt idx="13">
                  <c:v>6.2049246540353709E-2</c:v>
                </c:pt>
              </c:numCache>
            </c:numRef>
          </c:val>
          <c:extLst>
            <c:ext xmlns:c16="http://schemas.microsoft.com/office/drawing/2014/chart" uri="{C3380CC4-5D6E-409C-BE32-E72D297353CC}">
              <c16:uniqueId val="{00000000-B34D-4F37-A201-63708021AA6D}"/>
            </c:ext>
          </c:extLst>
        </c:ser>
        <c:dLbls>
          <c:showLegendKey val="0"/>
          <c:showVal val="0"/>
          <c:showCatName val="0"/>
          <c:showSerName val="0"/>
          <c:showPercent val="0"/>
          <c:showBubbleSize val="0"/>
        </c:dLbls>
        <c:gapWidth val="182"/>
        <c:axId val="1127631311"/>
        <c:axId val="1127628431"/>
      </c:barChart>
      <c:catAx>
        <c:axId val="11276313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28431"/>
        <c:crosses val="autoZero"/>
        <c:auto val="1"/>
        <c:lblAlgn val="ctr"/>
        <c:lblOffset val="100"/>
        <c:noMultiLvlLbl val="0"/>
      </c:catAx>
      <c:valAx>
        <c:axId val="1127628431"/>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31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05555555555553E-2"/>
          <c:y val="3.7453703703703718E-2"/>
          <c:w val="0.86021522309711285"/>
          <c:h val="0.85514690871974319"/>
        </c:manualLayout>
      </c:layout>
      <c:barChart>
        <c:barDir val="bar"/>
        <c:grouping val="clustered"/>
        <c:varyColors val="0"/>
        <c:ser>
          <c:idx val="0"/>
          <c:order val="0"/>
          <c:tx>
            <c:strRef>
              <c:f>Forecasting!$E$10</c:f>
              <c:strCache>
                <c:ptCount val="1"/>
              </c:strCache>
            </c:strRef>
          </c:tx>
          <c:spPr>
            <a:solidFill>
              <a:schemeClr val="accent1"/>
            </a:solidFill>
            <a:ln>
              <a:noFill/>
            </a:ln>
            <a:effectLst/>
          </c:spPr>
          <c:invertIfNegative val="0"/>
          <c:val>
            <c:numRef>
              <c:f>Forecasting!$E$30:$E$43</c:f>
              <c:numCache>
                <c:formatCode>0.00%</c:formatCode>
                <c:ptCount val="14"/>
                <c:pt idx="0">
                  <c:v>-0.18503719525668405</c:v>
                </c:pt>
                <c:pt idx="1">
                  <c:v>0.27924263991504561</c:v>
                </c:pt>
                <c:pt idx="2">
                  <c:v>0.54329011974990293</c:v>
                </c:pt>
                <c:pt idx="3">
                  <c:v>6.7145047952573922E-2</c:v>
                </c:pt>
                <c:pt idx="4">
                  <c:v>-0.16908145208858383</c:v>
                </c:pt>
                <c:pt idx="5">
                  <c:v>8.9650098736431705E-2</c:v>
                </c:pt>
                <c:pt idx="6">
                  <c:v>0.26341723423156638</c:v>
                </c:pt>
                <c:pt idx="7">
                  <c:v>0.67264494112352802</c:v>
                </c:pt>
                <c:pt idx="8">
                  <c:v>-8.2147401225260763E-2</c:v>
                </c:pt>
                <c:pt idx="9">
                  <c:v>1.5606241030807988E-2</c:v>
                </c:pt>
                <c:pt idx="10">
                  <c:v>7.8337979441096328E-2</c:v>
                </c:pt>
                <c:pt idx="11">
                  <c:v>7.2646963136454357E-2</c:v>
                </c:pt>
                <c:pt idx="12">
                  <c:v>6.7726815656133699E-2</c:v>
                </c:pt>
                <c:pt idx="13">
                  <c:v>6.3430846414131548E-2</c:v>
                </c:pt>
              </c:numCache>
            </c:numRef>
          </c:val>
          <c:extLst>
            <c:ext xmlns:c16="http://schemas.microsoft.com/office/drawing/2014/chart" uri="{C3380CC4-5D6E-409C-BE32-E72D297353CC}">
              <c16:uniqueId val="{00000000-CD6E-4FCC-A644-56921A47F310}"/>
            </c:ext>
          </c:extLst>
        </c:ser>
        <c:dLbls>
          <c:showLegendKey val="0"/>
          <c:showVal val="0"/>
          <c:showCatName val="0"/>
          <c:showSerName val="0"/>
          <c:showPercent val="0"/>
          <c:showBubbleSize val="0"/>
        </c:dLbls>
        <c:gapWidth val="182"/>
        <c:axId val="1127631311"/>
        <c:axId val="1127628431"/>
      </c:barChart>
      <c:catAx>
        <c:axId val="11276313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28431"/>
        <c:crosses val="autoZero"/>
        <c:auto val="1"/>
        <c:lblAlgn val="ctr"/>
        <c:lblOffset val="100"/>
        <c:noMultiLvlLbl val="0"/>
      </c:catAx>
      <c:valAx>
        <c:axId val="1127628431"/>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31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05555555555553E-2"/>
          <c:y val="3.7453703703703718E-2"/>
          <c:w val="0.86021522309711285"/>
          <c:h val="0.85514690871974319"/>
        </c:manualLayout>
      </c:layout>
      <c:barChart>
        <c:barDir val="bar"/>
        <c:grouping val="clustered"/>
        <c:varyColors val="0"/>
        <c:ser>
          <c:idx val="0"/>
          <c:order val="0"/>
          <c:tx>
            <c:strRef>
              <c:f>Forecasting!$E$10</c:f>
              <c:strCache>
                <c:ptCount val="1"/>
              </c:strCache>
            </c:strRef>
          </c:tx>
          <c:spPr>
            <a:solidFill>
              <a:schemeClr val="accent1"/>
            </a:solidFill>
            <a:ln>
              <a:noFill/>
            </a:ln>
            <a:effectLst/>
          </c:spPr>
          <c:invertIfNegative val="0"/>
          <c:val>
            <c:numRef>
              <c:f>Forecasting!$E$49:$E$62</c:f>
              <c:numCache>
                <c:formatCode>0.00%</c:formatCode>
                <c:ptCount val="14"/>
                <c:pt idx="0">
                  <c:v>-0.38689985013245365</c:v>
                </c:pt>
                <c:pt idx="1">
                  <c:v>2.3803795718472465E-2</c:v>
                </c:pt>
                <c:pt idx="2">
                  <c:v>0.86544052425362872</c:v>
                </c:pt>
                <c:pt idx="3">
                  <c:v>2.1040239563588692E-2</c:v>
                </c:pt>
                <c:pt idx="4">
                  <c:v>-0.1538047469714191</c:v>
                </c:pt>
                <c:pt idx="5">
                  <c:v>-0.19366968772784099</c:v>
                </c:pt>
                <c:pt idx="6">
                  <c:v>9.6403631800293654E-2</c:v>
                </c:pt>
                <c:pt idx="7">
                  <c:v>1.9814808806502189</c:v>
                </c:pt>
                <c:pt idx="8">
                  <c:v>-0.22396978652062194</c:v>
                </c:pt>
                <c:pt idx="9">
                  <c:v>-2.9040773370244577E-2</c:v>
                </c:pt>
                <c:pt idx="10">
                  <c:v>7.2641720992983272E-2</c:v>
                </c:pt>
                <c:pt idx="11">
                  <c:v>6.7722259512464467E-2</c:v>
                </c:pt>
                <c:pt idx="12">
                  <c:v>6.3426849921989437E-2</c:v>
                </c:pt>
                <c:pt idx="13">
                  <c:v>5.9643829687620054E-2</c:v>
                </c:pt>
              </c:numCache>
            </c:numRef>
          </c:val>
          <c:extLst>
            <c:ext xmlns:c16="http://schemas.microsoft.com/office/drawing/2014/chart" uri="{C3380CC4-5D6E-409C-BE32-E72D297353CC}">
              <c16:uniqueId val="{00000000-1074-489C-B383-83A4F5F3DCB6}"/>
            </c:ext>
          </c:extLst>
        </c:ser>
        <c:dLbls>
          <c:showLegendKey val="0"/>
          <c:showVal val="0"/>
          <c:showCatName val="0"/>
          <c:showSerName val="0"/>
          <c:showPercent val="0"/>
          <c:showBubbleSize val="0"/>
        </c:dLbls>
        <c:gapWidth val="182"/>
        <c:axId val="1127631311"/>
        <c:axId val="1127628431"/>
      </c:barChart>
      <c:catAx>
        <c:axId val="11276313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28431"/>
        <c:crosses val="autoZero"/>
        <c:auto val="1"/>
        <c:lblAlgn val="ctr"/>
        <c:lblOffset val="100"/>
        <c:noMultiLvlLbl val="0"/>
      </c:catAx>
      <c:valAx>
        <c:axId val="1127628431"/>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6313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solidFill>
                  <a:schemeClr val="tx1"/>
                </a:solidFill>
              </a:rPr>
              <a:t>FootBall Field Analysis</a:t>
            </a:r>
          </a:p>
        </c:rich>
      </c:tx>
      <c:layout>
        <c:manualLayout>
          <c:xMode val="edge"/>
          <c:yMode val="edge"/>
          <c:x val="0.31706233595800526"/>
          <c:y val="1.71765997906348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261592300962376E-2"/>
          <c:y val="9.4857772343780872E-2"/>
          <c:w val="0.87129396325459318"/>
          <c:h val="0.80123123760782711"/>
        </c:manualLayout>
      </c:layout>
      <c:stockChart>
        <c:ser>
          <c:idx val="0"/>
          <c:order val="0"/>
          <c:spPr>
            <a:ln w="38100" cap="rnd">
              <a:noFill/>
              <a:round/>
            </a:ln>
            <a:effectLst/>
          </c:spPr>
          <c:marker>
            <c:symbol val="none"/>
          </c:marker>
          <c:cat>
            <c:strRef>
              <c:f>'football field'!$K$11:$K$15</c:f>
              <c:strCache>
                <c:ptCount val="5"/>
                <c:pt idx="0">
                  <c:v>Comps</c:v>
                </c:pt>
                <c:pt idx="1">
                  <c:v>DCF Bear</c:v>
                </c:pt>
                <c:pt idx="2">
                  <c:v>DCF Base</c:v>
                </c:pt>
                <c:pt idx="3">
                  <c:v>DCF Bull</c:v>
                </c:pt>
                <c:pt idx="4">
                  <c:v>52W H/L</c:v>
                </c:pt>
              </c:strCache>
            </c:strRef>
          </c:cat>
          <c:val>
            <c:numRef>
              <c:f>'football field'!$M$11:$M$15</c:f>
              <c:numCache>
                <c:formatCode>#,##0</c:formatCode>
                <c:ptCount val="5"/>
                <c:pt idx="0">
                  <c:v>200.97553808505486</c:v>
                </c:pt>
                <c:pt idx="1">
                  <c:v>681.63646721302155</c:v>
                </c:pt>
                <c:pt idx="2">
                  <c:v>428.03881858475478</c:v>
                </c:pt>
                <c:pt idx="3">
                  <c:v>282.31804278635099</c:v>
                </c:pt>
                <c:pt idx="4" formatCode="General">
                  <c:v>1551</c:v>
                </c:pt>
              </c:numCache>
            </c:numRef>
          </c:val>
          <c:smooth val="0"/>
          <c:extLst>
            <c:ext xmlns:c16="http://schemas.microsoft.com/office/drawing/2014/chart" uri="{C3380CC4-5D6E-409C-BE32-E72D297353CC}">
              <c16:uniqueId val="{00000000-35D0-426B-869E-88BAA2C0A172}"/>
            </c:ext>
          </c:extLst>
        </c:ser>
        <c:ser>
          <c:idx val="1"/>
          <c:order val="1"/>
          <c:spPr>
            <a:ln w="38100" cap="rnd">
              <a:noFill/>
              <a:round/>
            </a:ln>
            <a:effectLst/>
          </c:spPr>
          <c:marker>
            <c:symbol val="none"/>
          </c:marker>
          <c:dLbls>
            <c:dLbl>
              <c:idx val="0"/>
              <c:layout>
                <c:manualLayout>
                  <c:x val="-7.3145888013998281E-2"/>
                  <c:y val="2.78798530656847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5D0-426B-869E-88BAA2C0A172}"/>
                </c:ext>
              </c:extLst>
            </c:dLbl>
            <c:dLbl>
              <c:idx val="2"/>
              <c:layout>
                <c:manualLayout>
                  <c:x val="-6.7590332458442801E-2"/>
                  <c:y val="4.50564528563197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5D0-426B-869E-88BAA2C0A172}"/>
                </c:ext>
              </c:extLst>
            </c:dLbl>
            <c:dLbl>
              <c:idx val="3"/>
              <c:layout>
                <c:manualLayout>
                  <c:x val="-6.759033245844269E-2"/>
                  <c:y val="3.64681529610021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5D0-426B-869E-88BAA2C0A172}"/>
                </c:ext>
              </c:extLst>
            </c:dLbl>
            <c:dLbl>
              <c:idx val="4"/>
              <c:layout>
                <c:manualLayout>
                  <c:x val="-7.2587926509186246E-2"/>
                  <c:y val="0.1352336017571526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D0-426B-869E-88BAA2C0A172}"/>
                </c:ext>
              </c:extLst>
            </c:dLbl>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field'!$K$11:$K$15</c:f>
              <c:strCache>
                <c:ptCount val="5"/>
                <c:pt idx="0">
                  <c:v>Comps</c:v>
                </c:pt>
                <c:pt idx="1">
                  <c:v>DCF Bear</c:v>
                </c:pt>
                <c:pt idx="2">
                  <c:v>DCF Base</c:v>
                </c:pt>
                <c:pt idx="3">
                  <c:v>DCF Bull</c:v>
                </c:pt>
                <c:pt idx="4">
                  <c:v>52W H/L</c:v>
                </c:pt>
              </c:strCache>
            </c:strRef>
          </c:cat>
          <c:val>
            <c:numRef>
              <c:f>'football field'!$N$11:$N$15</c:f>
              <c:numCache>
                <c:formatCode>0</c:formatCode>
                <c:ptCount val="5"/>
                <c:pt idx="0" formatCode="#,##0">
                  <c:v>200.97553808505486</c:v>
                </c:pt>
                <c:pt idx="1">
                  <c:v>681.63646721302155</c:v>
                </c:pt>
                <c:pt idx="2">
                  <c:v>428.03881858475478</c:v>
                </c:pt>
                <c:pt idx="3">
                  <c:v>282.31804278635099</c:v>
                </c:pt>
                <c:pt idx="4" formatCode="General">
                  <c:v>1551</c:v>
                </c:pt>
              </c:numCache>
            </c:numRef>
          </c:val>
          <c:smooth val="0"/>
          <c:extLst>
            <c:ext xmlns:c16="http://schemas.microsoft.com/office/drawing/2014/chart" uri="{C3380CC4-5D6E-409C-BE32-E72D297353CC}">
              <c16:uniqueId val="{00000001-35D0-426B-869E-88BAA2C0A172}"/>
            </c:ext>
          </c:extLst>
        </c:ser>
        <c:ser>
          <c:idx val="2"/>
          <c:order val="2"/>
          <c:spPr>
            <a:ln w="38100" cap="rnd">
              <a:noFill/>
              <a:round/>
            </a:ln>
            <a:effectLst/>
          </c:spPr>
          <c:marker>
            <c:symbol val="none"/>
          </c:marker>
          <c:cat>
            <c:strRef>
              <c:f>'football field'!$K$11:$K$15</c:f>
              <c:strCache>
                <c:ptCount val="5"/>
                <c:pt idx="0">
                  <c:v>Comps</c:v>
                </c:pt>
                <c:pt idx="1">
                  <c:v>DCF Bear</c:v>
                </c:pt>
                <c:pt idx="2">
                  <c:v>DCF Base</c:v>
                </c:pt>
                <c:pt idx="3">
                  <c:v>DCF Bull</c:v>
                </c:pt>
                <c:pt idx="4">
                  <c:v>52W H/L</c:v>
                </c:pt>
              </c:strCache>
            </c:strRef>
          </c:cat>
          <c:val>
            <c:numRef>
              <c:f>'football field'!$O$11:$O$15</c:f>
              <c:numCache>
                <c:formatCode>0</c:formatCode>
                <c:ptCount val="5"/>
                <c:pt idx="0" formatCode="#,##0">
                  <c:v>1029.9489364467743</c:v>
                </c:pt>
                <c:pt idx="1">
                  <c:v>3609.9715796752753</c:v>
                </c:pt>
                <c:pt idx="2">
                  <c:v>952.40717966672332</c:v>
                </c:pt>
                <c:pt idx="3">
                  <c:v>472.46967346571779</c:v>
                </c:pt>
                <c:pt idx="4" formatCode="General">
                  <c:v>1114</c:v>
                </c:pt>
              </c:numCache>
            </c:numRef>
          </c:val>
          <c:smooth val="0"/>
          <c:extLst>
            <c:ext xmlns:c16="http://schemas.microsoft.com/office/drawing/2014/chart" uri="{C3380CC4-5D6E-409C-BE32-E72D297353CC}">
              <c16:uniqueId val="{00000002-35D0-426B-869E-88BAA2C0A17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rgbClr val="002060"/>
                </a:solidFill>
                <a:round/>
              </a:ln>
              <a:effectLst/>
            </c:spPr>
          </c:upBars>
          <c:downBars>
            <c:spPr>
              <a:solidFill>
                <a:srgbClr val="002060"/>
              </a:solidFill>
              <a:ln w="9525" cap="flat" cmpd="sng" algn="ctr">
                <a:solidFill>
                  <a:schemeClr val="tx1">
                    <a:lumMod val="65000"/>
                    <a:lumOff val="35000"/>
                  </a:schemeClr>
                </a:solidFill>
                <a:round/>
              </a:ln>
              <a:effectLst/>
            </c:spPr>
          </c:downBars>
        </c:upDownBars>
        <c:axId val="1919826447"/>
        <c:axId val="1919825967"/>
      </c:stockChart>
      <c:stockChart>
        <c:ser>
          <c:idx val="3"/>
          <c:order val="3"/>
          <c:spPr>
            <a:ln w="38100" cap="rnd">
              <a:noFill/>
              <a:round/>
            </a:ln>
            <a:effectLst/>
          </c:spPr>
          <c:marker>
            <c:symbol val="none"/>
          </c:marker>
          <c:dLbls>
            <c:dLbl>
              <c:idx val="4"/>
              <c:layout>
                <c:manualLayout>
                  <c:x val="-7.1166666666666767E-2"/>
                  <c:y val="-0.113391255893467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5D0-426B-869E-88BAA2C0A172}"/>
                </c:ext>
              </c:extLst>
            </c:dLbl>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field'!$K$11:$K$15</c:f>
              <c:strCache>
                <c:ptCount val="5"/>
                <c:pt idx="0">
                  <c:v>Comps</c:v>
                </c:pt>
                <c:pt idx="1">
                  <c:v>DCF Bear</c:v>
                </c:pt>
                <c:pt idx="2">
                  <c:v>DCF Base</c:v>
                </c:pt>
                <c:pt idx="3">
                  <c:v>DCF Bull</c:v>
                </c:pt>
                <c:pt idx="4">
                  <c:v>52W H/L</c:v>
                </c:pt>
              </c:strCache>
            </c:strRef>
          </c:cat>
          <c:val>
            <c:numRef>
              <c:f>'football field'!$P$11:$P$15</c:f>
              <c:numCache>
                <c:formatCode>#,##0</c:formatCode>
                <c:ptCount val="5"/>
                <c:pt idx="0">
                  <c:v>1029.9489364467743</c:v>
                </c:pt>
                <c:pt idx="1">
                  <c:v>3609.9715796752753</c:v>
                </c:pt>
                <c:pt idx="2">
                  <c:v>952.40717966672332</c:v>
                </c:pt>
                <c:pt idx="3">
                  <c:v>472.46967346571779</c:v>
                </c:pt>
                <c:pt idx="4" formatCode="General">
                  <c:v>1114</c:v>
                </c:pt>
              </c:numCache>
            </c:numRef>
          </c:val>
          <c:smooth val="0"/>
          <c:extLst>
            <c:ext xmlns:c16="http://schemas.microsoft.com/office/drawing/2014/chart" uri="{C3380CC4-5D6E-409C-BE32-E72D297353CC}">
              <c16:uniqueId val="{00000003-35D0-426B-869E-88BAA2C0A172}"/>
            </c:ext>
          </c:extLst>
        </c:ser>
        <c:dLbls>
          <c:showLegendKey val="0"/>
          <c:showVal val="0"/>
          <c:showCatName val="0"/>
          <c:showSerName val="0"/>
          <c:showPercent val="0"/>
          <c:showBubbleSize val="0"/>
        </c:dLbls>
        <c:axId val="1919826447"/>
        <c:axId val="1919825967"/>
      </c:stockChart>
      <c:catAx>
        <c:axId val="19198264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19825967"/>
        <c:crosses val="autoZero"/>
        <c:auto val="1"/>
        <c:lblAlgn val="ctr"/>
        <c:lblOffset val="100"/>
        <c:noMultiLvlLbl val="0"/>
      </c:catAx>
      <c:valAx>
        <c:axId val="1919825967"/>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826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Monthly Returns Distribution</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276722841355884E-2"/>
          <c:y val="0.10476443387554543"/>
          <c:w val="0.94544655431728819"/>
          <c:h val="0.70033812914918803"/>
        </c:manualLayout>
      </c:layout>
      <c:barChart>
        <c:barDir val="col"/>
        <c:grouping val="stacked"/>
        <c:varyColors val="0"/>
        <c:ser>
          <c:idx val="0"/>
          <c:order val="0"/>
          <c:spPr>
            <a:solidFill>
              <a:schemeClr val="accent1"/>
            </a:solidFill>
            <a:ln>
              <a:noFill/>
            </a:ln>
            <a:effectLst/>
          </c:spPr>
          <c:invertIfNegative val="0"/>
          <c:val>
            <c:numRef>
              <c:f>VAR!$G$9:$G$256</c:f>
              <c:numCache>
                <c:formatCode>0.0000000</c:formatCode>
                <c:ptCount val="248"/>
                <c:pt idx="0">
                  <c:v>0.17590248150883087</c:v>
                </c:pt>
                <c:pt idx="1">
                  <c:v>-0.10664042738563412</c:v>
                </c:pt>
                <c:pt idx="2">
                  <c:v>-4.6926985254210338E-2</c:v>
                </c:pt>
                <c:pt idx="3">
                  <c:v>-7.3732171692712206E-2</c:v>
                </c:pt>
                <c:pt idx="4">
                  <c:v>1.6123342157099423E-2</c:v>
                </c:pt>
                <c:pt idx="5">
                  <c:v>-8.6156496240118008E-2</c:v>
                </c:pt>
                <c:pt idx="6">
                  <c:v>-1.2938680174274728E-4</c:v>
                </c:pt>
                <c:pt idx="7">
                  <c:v>-0.12120040944083831</c:v>
                </c:pt>
                <c:pt idx="8">
                  <c:v>-5.9819827070443837E-2</c:v>
                </c:pt>
                <c:pt idx="9">
                  <c:v>-0.11946561050780648</c:v>
                </c:pt>
                <c:pt idx="10">
                  <c:v>-2.0105976945960741E-2</c:v>
                </c:pt>
                <c:pt idx="11">
                  <c:v>-5.551361164966119E-2</c:v>
                </c:pt>
                <c:pt idx="12">
                  <c:v>0.18878819548170092</c:v>
                </c:pt>
                <c:pt idx="13">
                  <c:v>6.9952353201615039E-2</c:v>
                </c:pt>
                <c:pt idx="14">
                  <c:v>2.9258888701568203E-2</c:v>
                </c:pt>
                <c:pt idx="15">
                  <c:v>-4.5339211437745969E-2</c:v>
                </c:pt>
                <c:pt idx="16">
                  <c:v>-4.088548343334357E-2</c:v>
                </c:pt>
                <c:pt idx="17">
                  <c:v>0.10681013263073023</c:v>
                </c:pt>
                <c:pt idx="18">
                  <c:v>-6.8571875514574568E-3</c:v>
                </c:pt>
                <c:pt idx="19">
                  <c:v>-4.7234133198606927E-3</c:v>
                </c:pt>
                <c:pt idx="20">
                  <c:v>0.16674743717649804</c:v>
                </c:pt>
                <c:pt idx="21">
                  <c:v>9.1024768446399534E-2</c:v>
                </c:pt>
                <c:pt idx="22">
                  <c:v>2.4690259737056384E-2</c:v>
                </c:pt>
                <c:pt idx="23">
                  <c:v>8.4734023497739452E-2</c:v>
                </c:pt>
                <c:pt idx="24">
                  <c:v>-4.3066045155565988E-2</c:v>
                </c:pt>
                <c:pt idx="25">
                  <c:v>9.2910151004929858E-2</c:v>
                </c:pt>
                <c:pt idx="26">
                  <c:v>0.12580732179272411</c:v>
                </c:pt>
                <c:pt idx="27">
                  <c:v>-4.122377317861653E-2</c:v>
                </c:pt>
                <c:pt idx="28">
                  <c:v>0.14784737976230838</c:v>
                </c:pt>
                <c:pt idx="29">
                  <c:v>-4.8708181813549412E-2</c:v>
                </c:pt>
                <c:pt idx="30">
                  <c:v>-2.4035390671063677E-2</c:v>
                </c:pt>
                <c:pt idx="31">
                  <c:v>2.4649541538457297E-2</c:v>
                </c:pt>
                <c:pt idx="32">
                  <c:v>-1.1508229051347098E-2</c:v>
                </c:pt>
                <c:pt idx="33">
                  <c:v>-1.2978209278305591E-2</c:v>
                </c:pt>
                <c:pt idx="34">
                  <c:v>3.5856950140782259E-2</c:v>
                </c:pt>
                <c:pt idx="35">
                  <c:v>2.1744740046738095E-2</c:v>
                </c:pt>
                <c:pt idx="36">
                  <c:v>-2.6401467103974893E-2</c:v>
                </c:pt>
                <c:pt idx="37">
                  <c:v>-5.0616577602337801E-2</c:v>
                </c:pt>
                <c:pt idx="38">
                  <c:v>0.12260051888476727</c:v>
                </c:pt>
                <c:pt idx="39">
                  <c:v>1.1224631705876988E-2</c:v>
                </c:pt>
                <c:pt idx="40">
                  <c:v>-2.3039486158333424E-2</c:v>
                </c:pt>
                <c:pt idx="41">
                  <c:v>2.0240838673449293E-2</c:v>
                </c:pt>
                <c:pt idx="42">
                  <c:v>0.15260870391977444</c:v>
                </c:pt>
                <c:pt idx="43">
                  <c:v>-7.3235656691458192E-2</c:v>
                </c:pt>
                <c:pt idx="44">
                  <c:v>-4.5994584356142017E-3</c:v>
                </c:pt>
                <c:pt idx="45">
                  <c:v>0.10175531111853041</c:v>
                </c:pt>
                <c:pt idx="46">
                  <c:v>2.0157238256371921E-2</c:v>
                </c:pt>
                <c:pt idx="47">
                  <c:v>-2.1951742787594767E-2</c:v>
                </c:pt>
                <c:pt idx="48">
                  <c:v>8.8153740145767046E-2</c:v>
                </c:pt>
                <c:pt idx="49">
                  <c:v>-7.7156056734079326E-2</c:v>
                </c:pt>
                <c:pt idx="50">
                  <c:v>-9.8726793068738654E-3</c:v>
                </c:pt>
                <c:pt idx="51">
                  <c:v>-4.8797257717942508E-2</c:v>
                </c:pt>
                <c:pt idx="52">
                  <c:v>-0.25325649529484695</c:v>
                </c:pt>
                <c:pt idx="53">
                  <c:v>7.0875959125184226E-2</c:v>
                </c:pt>
                <c:pt idx="54">
                  <c:v>-9.0942963534027407E-2</c:v>
                </c:pt>
                <c:pt idx="55">
                  <c:v>-6.4778069186978829E-2</c:v>
                </c:pt>
                <c:pt idx="56">
                  <c:v>6.2431168247513741E-2</c:v>
                </c:pt>
                <c:pt idx="57">
                  <c:v>5.5436334055069647E-2</c:v>
                </c:pt>
                <c:pt idx="58">
                  <c:v>-5.6434302909043194E-2</c:v>
                </c:pt>
                <c:pt idx="59">
                  <c:v>2.1342460606514457E-2</c:v>
                </c:pt>
                <c:pt idx="60">
                  <c:v>-8.8035944073802386E-2</c:v>
                </c:pt>
                <c:pt idx="61">
                  <c:v>3.4245190483042025E-2</c:v>
                </c:pt>
                <c:pt idx="62">
                  <c:v>-6.5225781747263525E-2</c:v>
                </c:pt>
                <c:pt idx="63">
                  <c:v>3.6375908082076584E-3</c:v>
                </c:pt>
                <c:pt idx="65">
                  <c:v>-1.8848156038487818E-2</c:v>
                </c:pt>
                <c:pt idx="66">
                  <c:v>9.930822978717474E-2</c:v>
                </c:pt>
                <c:pt idx="67">
                  <c:v>-2.6108701849125369E-2</c:v>
                </c:pt>
                <c:pt idx="68">
                  <c:v>-9.6715693807259591E-3</c:v>
                </c:pt>
                <c:pt idx="69">
                  <c:v>1.0785928488866611E-2</c:v>
                </c:pt>
                <c:pt idx="70">
                  <c:v>0.10016055269489314</c:v>
                </c:pt>
                <c:pt idx="71">
                  <c:v>-1.7365285953754906E-2</c:v>
                </c:pt>
                <c:pt idx="72">
                  <c:v>0.17255096965504971</c:v>
                </c:pt>
                <c:pt idx="73">
                  <c:v>1.3978385062979094E-2</c:v>
                </c:pt>
                <c:pt idx="74">
                  <c:v>-1.3751888859232047E-2</c:v>
                </c:pt>
                <c:pt idx="75">
                  <c:v>4.0862641540175534E-2</c:v>
                </c:pt>
                <c:pt idx="76">
                  <c:v>5.6016363555859622E-2</c:v>
                </c:pt>
                <c:pt idx="77">
                  <c:v>0.12316511267434703</c:v>
                </c:pt>
                <c:pt idx="78">
                  <c:v>-1.7306584387651782E-2</c:v>
                </c:pt>
                <c:pt idx="79">
                  <c:v>-5.318335991823539E-2</c:v>
                </c:pt>
                <c:pt idx="80">
                  <c:v>0.10787270792124025</c:v>
                </c:pt>
                <c:pt idx="81">
                  <c:v>8.4824873258713185E-2</c:v>
                </c:pt>
                <c:pt idx="82">
                  <c:v>0.12937801559433038</c:v>
                </c:pt>
                <c:pt idx="83">
                  <c:v>4.402144151572937E-2</c:v>
                </c:pt>
                <c:pt idx="84">
                  <c:v>1.4802960751883377E-2</c:v>
                </c:pt>
                <c:pt idx="85">
                  <c:v>5.0886205746170962E-2</c:v>
                </c:pt>
                <c:pt idx="86">
                  <c:v>-2.5954454168459793E-2</c:v>
                </c:pt>
                <c:pt idx="87">
                  <c:v>9.3964170504196379E-2</c:v>
                </c:pt>
                <c:pt idx="88">
                  <c:v>-5.4644925003531186E-2</c:v>
                </c:pt>
                <c:pt idx="89">
                  <c:v>0.1100204705210103</c:v>
                </c:pt>
                <c:pt idx="90">
                  <c:v>5.273850975639964E-2</c:v>
                </c:pt>
                <c:pt idx="91">
                  <c:v>0.11232597295560047</c:v>
                </c:pt>
                <c:pt idx="92">
                  <c:v>-8.2983002375918172E-2</c:v>
                </c:pt>
                <c:pt idx="93">
                  <c:v>-6.0331398913952741E-2</c:v>
                </c:pt>
                <c:pt idx="94">
                  <c:v>9.4733669204803431E-2</c:v>
                </c:pt>
                <c:pt idx="95">
                  <c:v>7.2336154309200137E-2</c:v>
                </c:pt>
                <c:pt idx="96">
                  <c:v>-4.5180719310972825E-2</c:v>
                </c:pt>
                <c:pt idx="97">
                  <c:v>3.3577117139887785E-2</c:v>
                </c:pt>
                <c:pt idx="98">
                  <c:v>-2.3862017028285627E-2</c:v>
                </c:pt>
                <c:pt idx="99">
                  <c:v>-0.10493913509655707</c:v>
                </c:pt>
                <c:pt idx="100">
                  <c:v>-3.2173556336302367E-2</c:v>
                </c:pt>
                <c:pt idx="101">
                  <c:v>1.761583005724917E-2</c:v>
                </c:pt>
                <c:pt idx="102">
                  <c:v>8.3942837090178343E-2</c:v>
                </c:pt>
                <c:pt idx="103">
                  <c:v>4.1727414547799539E-2</c:v>
                </c:pt>
                <c:pt idx="104">
                  <c:v>0.12572738637821324</c:v>
                </c:pt>
                <c:pt idx="105">
                  <c:v>2.533462489303747E-2</c:v>
                </c:pt>
                <c:pt idx="106">
                  <c:v>0.20040263056016264</c:v>
                </c:pt>
                <c:pt idx="107">
                  <c:v>-0.12295328831720274</c:v>
                </c:pt>
                <c:pt idx="108">
                  <c:v>4.6901961190983762E-2</c:v>
                </c:pt>
                <c:pt idx="109">
                  <c:v>6.4362316250410057E-2</c:v>
                </c:pt>
                <c:pt idx="110">
                  <c:v>-8.2219856688607998E-2</c:v>
                </c:pt>
                <c:pt idx="111">
                  <c:v>-0.10381045891089495</c:v>
                </c:pt>
                <c:pt idx="112">
                  <c:v>-6.4278693848190502E-2</c:v>
                </c:pt>
                <c:pt idx="113">
                  <c:v>8.1770090340752125E-2</c:v>
                </c:pt>
                <c:pt idx="114">
                  <c:v>-9.6206191471912547E-2</c:v>
                </c:pt>
                <c:pt idx="115">
                  <c:v>-2.8889845329974111E-2</c:v>
                </c:pt>
                <c:pt idx="116">
                  <c:v>-0.12727991328847452</c:v>
                </c:pt>
                <c:pt idx="117">
                  <c:v>-3.4664803801949348E-2</c:v>
                </c:pt>
                <c:pt idx="118">
                  <c:v>5.4804376624391193E-2</c:v>
                </c:pt>
                <c:pt idx="119">
                  <c:v>2.6603912881566816E-2</c:v>
                </c:pt>
                <c:pt idx="120">
                  <c:v>5.2542885338384346E-2</c:v>
                </c:pt>
                <c:pt idx="121">
                  <c:v>-2.1074480374774541E-2</c:v>
                </c:pt>
                <c:pt idx="122">
                  <c:v>0.17999117174311977</c:v>
                </c:pt>
                <c:pt idx="123">
                  <c:v>1.0264676714325849E-2</c:v>
                </c:pt>
                <c:pt idx="124">
                  <c:v>-0.10954199115195622</c:v>
                </c:pt>
                <c:pt idx="125">
                  <c:v>1.8751202778390434E-2</c:v>
                </c:pt>
                <c:pt idx="126">
                  <c:v>9.8893588067974457E-3</c:v>
                </c:pt>
                <c:pt idx="127">
                  <c:v>-2.9200448410561342E-2</c:v>
                </c:pt>
                <c:pt idx="128">
                  <c:v>-0.14980678988332813</c:v>
                </c:pt>
                <c:pt idx="129">
                  <c:v>0.22084584986058003</c:v>
                </c:pt>
                <c:pt idx="130">
                  <c:v>0.15694837204453155</c:v>
                </c:pt>
                <c:pt idx="131">
                  <c:v>-1.4152145497684742E-2</c:v>
                </c:pt>
                <c:pt idx="132">
                  <c:v>3.8427008741001467E-2</c:v>
                </c:pt>
                <c:pt idx="133">
                  <c:v>1.1153336425432259E-2</c:v>
                </c:pt>
                <c:pt idx="134">
                  <c:v>-1.6190137992455261E-2</c:v>
                </c:pt>
                <c:pt idx="135">
                  <c:v>5.3095689289792622E-2</c:v>
                </c:pt>
                <c:pt idx="136">
                  <c:v>4.7776262930950872E-2</c:v>
                </c:pt>
                <c:pt idx="137">
                  <c:v>-8.1169416133996322E-3</c:v>
                </c:pt>
                <c:pt idx="138">
                  <c:v>0.11475415759682993</c:v>
                </c:pt>
                <c:pt idx="139">
                  <c:v>0.1440195899258169</c:v>
                </c:pt>
                <c:pt idx="140">
                  <c:v>-2.4608530574512025E-4</c:v>
                </c:pt>
                <c:pt idx="141">
                  <c:v>-8.5208080217752336E-2</c:v>
                </c:pt>
                <c:pt idx="142">
                  <c:v>-2.6193257265559353E-2</c:v>
                </c:pt>
                <c:pt idx="143">
                  <c:v>4.2031103233426993E-3</c:v>
                </c:pt>
                <c:pt idx="144">
                  <c:v>-7.109401278159562E-2</c:v>
                </c:pt>
                <c:pt idx="145">
                  <c:v>7.8804016098688506E-2</c:v>
                </c:pt>
                <c:pt idx="146">
                  <c:v>-3.6059745979779526E-2</c:v>
                </c:pt>
                <c:pt idx="147">
                  <c:v>-0.13269954137432938</c:v>
                </c:pt>
                <c:pt idx="148">
                  <c:v>-6.1935816170776717E-2</c:v>
                </c:pt>
                <c:pt idx="149">
                  <c:v>-7.3200794155990775E-2</c:v>
                </c:pt>
                <c:pt idx="150">
                  <c:v>8.70221128456172E-2</c:v>
                </c:pt>
                <c:pt idx="151">
                  <c:v>4.1754566710476469E-2</c:v>
                </c:pt>
                <c:pt idx="152">
                  <c:v>4.2457069614674769E-3</c:v>
                </c:pt>
                <c:pt idx="153">
                  <c:v>2.2127122019454083E-2</c:v>
                </c:pt>
                <c:pt idx="154">
                  <c:v>-7.1757712151344945E-3</c:v>
                </c:pt>
                <c:pt idx="155">
                  <c:v>-8.1114204357213893E-2</c:v>
                </c:pt>
                <c:pt idx="156">
                  <c:v>0.10076345020895786</c:v>
                </c:pt>
                <c:pt idx="157">
                  <c:v>-2.1904176162414139E-2</c:v>
                </c:pt>
                <c:pt idx="158">
                  <c:v>0.13933874980748276</c:v>
                </c:pt>
                <c:pt idx="159">
                  <c:v>-8.7123293026230786E-2</c:v>
                </c:pt>
                <c:pt idx="160">
                  <c:v>8.2938432620920273E-3</c:v>
                </c:pt>
                <c:pt idx="161">
                  <c:v>3.6877500999449309E-2</c:v>
                </c:pt>
                <c:pt idx="162">
                  <c:v>9.0867223467693825E-2</c:v>
                </c:pt>
                <c:pt idx="163">
                  <c:v>4.1625809898700836E-2</c:v>
                </c:pt>
                <c:pt idx="164">
                  <c:v>1.5470237800392434E-2</c:v>
                </c:pt>
                <c:pt idx="165">
                  <c:v>-5.1721059728672136E-2</c:v>
                </c:pt>
                <c:pt idx="166">
                  <c:v>0.17632796744082777</c:v>
                </c:pt>
                <c:pt idx="167">
                  <c:v>6.5739458957874714E-3</c:v>
                </c:pt>
                <c:pt idx="168">
                  <c:v>9.2609055343957497E-2</c:v>
                </c:pt>
                <c:pt idx="169">
                  <c:v>-2.1514723086015416E-3</c:v>
                </c:pt>
                <c:pt idx="170">
                  <c:v>-7.5809987262388176E-2</c:v>
                </c:pt>
                <c:pt idx="171">
                  <c:v>5.5471113349944035E-2</c:v>
                </c:pt>
                <c:pt idx="172">
                  <c:v>0.10183545304449482</c:v>
                </c:pt>
                <c:pt idx="173">
                  <c:v>-5.5237364554233781E-2</c:v>
                </c:pt>
                <c:pt idx="174">
                  <c:v>7.0058627782555241E-2</c:v>
                </c:pt>
                <c:pt idx="175">
                  <c:v>5.7117936776579614E-2</c:v>
                </c:pt>
                <c:pt idx="176">
                  <c:v>-6.0754523625963869E-2</c:v>
                </c:pt>
                <c:pt idx="177">
                  <c:v>5.0649372219200656E-2</c:v>
                </c:pt>
                <c:pt idx="178">
                  <c:v>2.1477748995257902E-2</c:v>
                </c:pt>
                <c:pt idx="179">
                  <c:v>-8.4546189938794654E-3</c:v>
                </c:pt>
                <c:pt idx="180">
                  <c:v>4.2246625335384411E-2</c:v>
                </c:pt>
                <c:pt idx="181">
                  <c:v>0.17947590205152733</c:v>
                </c:pt>
                <c:pt idx="182">
                  <c:v>3.3377965993387389E-3</c:v>
                </c:pt>
                <c:pt idx="183">
                  <c:v>5.7707499948191257E-2</c:v>
                </c:pt>
                <c:pt idx="184">
                  <c:v>0.26477326403518592</c:v>
                </c:pt>
                <c:pt idx="185">
                  <c:v>-2.417167325364903E-3</c:v>
                </c:pt>
                <c:pt idx="186">
                  <c:v>1.7988877809266758E-2</c:v>
                </c:pt>
                <c:pt idx="187">
                  <c:v>7.4499888010825369E-2</c:v>
                </c:pt>
                <c:pt idx="188">
                  <c:v>-3.6367126637391584E-2</c:v>
                </c:pt>
                <c:pt idx="189">
                  <c:v>-3.5796183801038023E-2</c:v>
                </c:pt>
                <c:pt idx="190">
                  <c:v>9.7660117908095079E-3</c:v>
                </c:pt>
                <c:pt idx="191">
                  <c:v>9.0711718569643676E-2</c:v>
                </c:pt>
                <c:pt idx="192">
                  <c:v>0.11118606716214421</c:v>
                </c:pt>
                <c:pt idx="193">
                  <c:v>-0.17874183308637062</c:v>
                </c:pt>
                <c:pt idx="194">
                  <c:v>-0.17104011165817487</c:v>
                </c:pt>
                <c:pt idx="195">
                  <c:v>-5.0065344751728177E-2</c:v>
                </c:pt>
                <c:pt idx="196">
                  <c:v>-0.13635629201956806</c:v>
                </c:pt>
                <c:pt idx="197">
                  <c:v>-1.2728636720974809E-2</c:v>
                </c:pt>
                <c:pt idx="198">
                  <c:v>0.1746775396724751</c:v>
                </c:pt>
                <c:pt idx="199">
                  <c:v>2.4918251290704151E-2</c:v>
                </c:pt>
                <c:pt idx="200">
                  <c:v>-9.8341473493041801E-2</c:v>
                </c:pt>
                <c:pt idx="201">
                  <c:v>0.18950627869408462</c:v>
                </c:pt>
                <c:pt idx="202">
                  <c:v>-3.5070675888043579E-2</c:v>
                </c:pt>
                <c:pt idx="203">
                  <c:v>-5.9106741324842019E-2</c:v>
                </c:pt>
                <c:pt idx="204">
                  <c:v>5.2503906506728912E-2</c:v>
                </c:pt>
                <c:pt idx="205">
                  <c:v>-3.6251735699665139E-2</c:v>
                </c:pt>
                <c:pt idx="206">
                  <c:v>-6.5896745028750994E-2</c:v>
                </c:pt>
                <c:pt idx="207">
                  <c:v>-0.12949883377375876</c:v>
                </c:pt>
                <c:pt idx="208">
                  <c:v>-0.10410924985148477</c:v>
                </c:pt>
                <c:pt idx="209">
                  <c:v>0.11565255820227519</c:v>
                </c:pt>
                <c:pt idx="210">
                  <c:v>4.8872174506168181E-2</c:v>
                </c:pt>
                <c:pt idx="211">
                  <c:v>-2.9178778893780993E-2</c:v>
                </c:pt>
                <c:pt idx="212">
                  <c:v>8.9743623364746047E-2</c:v>
                </c:pt>
                <c:pt idx="213">
                  <c:v>-2.0259222628985298E-2</c:v>
                </c:pt>
                <c:pt idx="214">
                  <c:v>-2.8350414521040177E-2</c:v>
                </c:pt>
                <c:pt idx="215">
                  <c:v>3.2334686028501487E-2</c:v>
                </c:pt>
                <c:pt idx="216">
                  <c:v>5.8399207901132941E-2</c:v>
                </c:pt>
                <c:pt idx="217">
                  <c:v>0.14026070960828749</c:v>
                </c:pt>
                <c:pt idx="218">
                  <c:v>-4.8806812225092408E-2</c:v>
                </c:pt>
                <c:pt idx="219">
                  <c:v>-6.2519786416093348E-2</c:v>
                </c:pt>
                <c:pt idx="220">
                  <c:v>-7.5223066590664911E-2</c:v>
                </c:pt>
                <c:pt idx="221">
                  <c:v>-7.6446625862027384E-2</c:v>
                </c:pt>
                <c:pt idx="222">
                  <c:v>4.6135323186233007E-2</c:v>
                </c:pt>
                <c:pt idx="223">
                  <c:v>3.4283321341303311E-2</c:v>
                </c:pt>
                <c:pt idx="224">
                  <c:v>7.1232031392763559E-2</c:v>
                </c:pt>
                <c:pt idx="225">
                  <c:v>5.7634794637629203E-2</c:v>
                </c:pt>
                <c:pt idx="226">
                  <c:v>-9.5593396724913508E-3</c:v>
                </c:pt>
                <c:pt idx="227">
                  <c:v>6.1808464595541901E-2</c:v>
                </c:pt>
                <c:pt idx="228">
                  <c:v>1.5183911001164783E-2</c:v>
                </c:pt>
                <c:pt idx="229">
                  <c:v>1.3397442289172053E-2</c:v>
                </c:pt>
                <c:pt idx="230">
                  <c:v>6.1655476174225399E-2</c:v>
                </c:pt>
                <c:pt idx="231">
                  <c:v>-0.14455725424809091</c:v>
                </c:pt>
                <c:pt idx="232">
                  <c:v>3.5672404108798572E-2</c:v>
                </c:pt>
                <c:pt idx="233">
                  <c:v>-5.3524429181748934E-2</c:v>
                </c:pt>
                <c:pt idx="234">
                  <c:v>-3.1124489871317242E-2</c:v>
                </c:pt>
                <c:pt idx="235">
                  <c:v>6.9820728793898626E-2</c:v>
                </c:pt>
                <c:pt idx="236">
                  <c:v>6.0358256565744964E-2</c:v>
                </c:pt>
                <c:pt idx="237">
                  <c:v>-8.8662062100179614E-2</c:v>
                </c:pt>
                <c:pt idx="238">
                  <c:v>1.4079518560861546E-2</c:v>
                </c:pt>
                <c:pt idx="239">
                  <c:v>0.12761216296653741</c:v>
                </c:pt>
                <c:pt idx="240">
                  <c:v>-0.13095686888410146</c:v>
                </c:pt>
                <c:pt idx="241">
                  <c:v>0.14268491696388683</c:v>
                </c:pt>
                <c:pt idx="242">
                  <c:v>7.7458559355692819E-2</c:v>
                </c:pt>
                <c:pt idx="243">
                  <c:v>-6.6459678626516305E-2</c:v>
                </c:pt>
                <c:pt idx="244">
                  <c:v>-4.0545856842089154E-2</c:v>
                </c:pt>
                <c:pt idx="245">
                  <c:v>6.3186535831185553E-2</c:v>
                </c:pt>
                <c:pt idx="246">
                  <c:v>-9.3843388852268853E-2</c:v>
                </c:pt>
                <c:pt idx="247">
                  <c:v>-4.5283622773820517E-2</c:v>
                </c:pt>
              </c:numCache>
            </c:numRef>
          </c:val>
          <c:extLst>
            <c:ext xmlns:c16="http://schemas.microsoft.com/office/drawing/2014/chart" uri="{C3380CC4-5D6E-409C-BE32-E72D297353CC}">
              <c16:uniqueId val="{00000000-8DB7-41BD-8C73-B6E8D887D256}"/>
            </c:ext>
          </c:extLst>
        </c:ser>
        <c:dLbls>
          <c:showLegendKey val="0"/>
          <c:showVal val="0"/>
          <c:showCatName val="0"/>
          <c:showSerName val="0"/>
          <c:showPercent val="0"/>
          <c:showBubbleSize val="0"/>
        </c:dLbls>
        <c:gapWidth val="0"/>
        <c:overlap val="100"/>
        <c:axId val="629334528"/>
        <c:axId val="629337888"/>
      </c:barChart>
      <c:catAx>
        <c:axId val="629334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629337888"/>
        <c:crosses val="autoZero"/>
        <c:auto val="1"/>
        <c:lblAlgn val="ctr"/>
        <c:lblOffset val="100"/>
        <c:noMultiLvlLbl val="0"/>
      </c:catAx>
      <c:valAx>
        <c:axId val="629337888"/>
        <c:scaling>
          <c:orientation val="minMax"/>
        </c:scaling>
        <c:delete val="1"/>
        <c:axPos val="l"/>
        <c:numFmt formatCode="0.0000000" sourceLinked="1"/>
        <c:majorTickMark val="none"/>
        <c:minorTickMark val="none"/>
        <c:tickLblPos val="nextTo"/>
        <c:crossAx val="629334528"/>
        <c:crosses val="autoZero"/>
        <c:crossBetween val="between"/>
      </c:valAx>
      <c:spPr>
        <a:noFill/>
        <a:ln w="25400">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630856127027638E-2"/>
          <c:y val="6.5493220678117837E-3"/>
          <c:w val="0.87273828774594475"/>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90-4888-AF7A-396B1FA0A061}"/>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Dupont!$E$68:$I$68</c:f>
              <c:numCache>
                <c:formatCode>#,##0.0</c:formatCode>
                <c:ptCount val="5"/>
                <c:pt idx="0">
                  <c:v>596679</c:v>
                </c:pt>
                <c:pt idx="1">
                  <c:v>466307</c:v>
                </c:pt>
                <c:pt idx="2">
                  <c:v>694673</c:v>
                </c:pt>
                <c:pt idx="3">
                  <c:v>876396</c:v>
                </c:pt>
                <c:pt idx="4">
                  <c:v>899041</c:v>
                </c:pt>
              </c:numCache>
            </c:numRef>
          </c:val>
          <c:extLst>
            <c:ext xmlns:c16="http://schemas.microsoft.com/office/drawing/2014/chart" uri="{C3380CC4-5D6E-409C-BE32-E72D297353CC}">
              <c16:uniqueId val="{00000000-F790-4888-AF7A-396B1FA0A061}"/>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754-4C07-9736-629277FE1087}"/>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Dupont!$E$67:$I$67</c:f>
              <c:numCache>
                <c:formatCode>#,##0.0</c:formatCode>
                <c:ptCount val="5"/>
                <c:pt idx="0">
                  <c:v>35289</c:v>
                </c:pt>
                <c:pt idx="1">
                  <c:v>27996</c:v>
                </c:pt>
                <c:pt idx="2">
                  <c:v>24089</c:v>
                </c:pt>
                <c:pt idx="3">
                  <c:v>26414</c:v>
                </c:pt>
                <c:pt idx="4">
                  <c:v>78754</c:v>
                </c:pt>
              </c:numCache>
            </c:numRef>
          </c:val>
          <c:extLst>
            <c:ext xmlns:c16="http://schemas.microsoft.com/office/drawing/2014/chart" uri="{C3380CC4-5D6E-409C-BE32-E72D297353CC}">
              <c16:uniqueId val="{00000008-0754-4C07-9736-629277FE1087}"/>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86D-496F-82BD-EAFAAA9FF08A}"/>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Dupont!$E$72:$I$72</c:f>
              <c:numCache>
                <c:formatCode>#,##0.0</c:formatCode>
                <c:ptCount val="5"/>
                <c:pt idx="0">
                  <c:v>963717.5</c:v>
                </c:pt>
                <c:pt idx="1">
                  <c:v>1120259</c:v>
                </c:pt>
                <c:pt idx="2">
                  <c:v>1266504</c:v>
                </c:pt>
                <c:pt idx="3">
                  <c:v>1349894</c:v>
                </c:pt>
                <c:pt idx="4">
                  <c:v>1421093.5</c:v>
                </c:pt>
              </c:numCache>
            </c:numRef>
          </c:val>
          <c:extLst>
            <c:ext xmlns:c16="http://schemas.microsoft.com/office/drawing/2014/chart" uri="{C3380CC4-5D6E-409C-BE32-E72D297353CC}">
              <c16:uniqueId val="{00000004-F86D-496F-82BD-EAFAAA9FF08A}"/>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84B-4205-A281-92C22F7D78C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Dupont!$E$79:$I$79</c:f>
              <c:numCache>
                <c:formatCode>0.00%</c:formatCode>
                <c:ptCount val="5"/>
                <c:pt idx="0">
                  <c:v>6.1407523287318445E-2</c:v>
                </c:pt>
                <c:pt idx="1">
                  <c:v>3.7841202386769364E-2</c:v>
                </c:pt>
                <c:pt idx="2">
                  <c:v>3.2218393333498296E-2</c:v>
                </c:pt>
                <c:pt idx="3">
                  <c:v>3.5000427335421198E-2</c:v>
                </c:pt>
                <c:pt idx="4">
                  <c:v>9.6236224407810697E-2</c:v>
                </c:pt>
              </c:numCache>
            </c:numRef>
          </c:val>
          <c:extLst>
            <c:ext xmlns:c16="http://schemas.microsoft.com/office/drawing/2014/chart" uri="{C3380CC4-5D6E-409C-BE32-E72D297353CC}">
              <c16:uniqueId val="{00000004-484B-4205-A281-92C22F7D78CC}"/>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1AF-4ECF-952D-C599358783F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Dupont!$E$85:$I$85</c:f>
              <c:numCache>
                <c:formatCode>0.00%</c:formatCode>
                <c:ptCount val="5"/>
                <c:pt idx="0">
                  <c:v>3.6617577246444107E-2</c:v>
                </c:pt>
                <c:pt idx="1">
                  <c:v>2.4990649483735458E-2</c:v>
                </c:pt>
                <c:pt idx="2">
                  <c:v>1.9020074156891727E-2</c:v>
                </c:pt>
                <c:pt idx="3">
                  <c:v>1.9567462334079563E-2</c:v>
                </c:pt>
                <c:pt idx="4">
                  <c:v>5.5417887704081396E-2</c:v>
                </c:pt>
              </c:numCache>
            </c:numRef>
          </c:val>
          <c:extLst>
            <c:ext xmlns:c16="http://schemas.microsoft.com/office/drawing/2014/chart" uri="{C3380CC4-5D6E-409C-BE32-E72D297353CC}">
              <c16:uniqueId val="{00000004-21AF-4ECF-952D-C599358783FD}"/>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00-4309-8A14-C8CA1A794DA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Dupont!$E$66:$I$66</c:f>
              <c:numCache>
                <c:formatCode>mmm\-yy</c:formatCode>
                <c:ptCount val="5"/>
                <c:pt idx="0">
                  <c:v>43921</c:v>
                </c:pt>
                <c:pt idx="1">
                  <c:v>44286</c:v>
                </c:pt>
                <c:pt idx="2">
                  <c:v>44651</c:v>
                </c:pt>
                <c:pt idx="3">
                  <c:v>45016</c:v>
                </c:pt>
                <c:pt idx="4">
                  <c:v>45382</c:v>
                </c:pt>
              </c:numCache>
            </c:numRef>
          </c:cat>
          <c:val>
            <c:numRef>
              <c:f>Dupont!$E$85:$I$85</c:f>
              <c:numCache>
                <c:formatCode>0.00%</c:formatCode>
                <c:ptCount val="5"/>
                <c:pt idx="0">
                  <c:v>3.6617577246444107E-2</c:v>
                </c:pt>
                <c:pt idx="1">
                  <c:v>2.4990649483735458E-2</c:v>
                </c:pt>
                <c:pt idx="2">
                  <c:v>1.9020074156891727E-2</c:v>
                </c:pt>
                <c:pt idx="3">
                  <c:v>1.9567462334079563E-2</c:v>
                </c:pt>
                <c:pt idx="4">
                  <c:v>5.5417887704081396E-2</c:v>
                </c:pt>
              </c:numCache>
            </c:numRef>
          </c:val>
          <c:extLst>
            <c:ext xmlns:c16="http://schemas.microsoft.com/office/drawing/2014/chart" uri="{C3380CC4-5D6E-409C-BE32-E72D297353CC}">
              <c16:uniqueId val="{00000004-2500-4309-8A14-C8CA1A794DA6}"/>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630856127027638E-2"/>
          <c:y val="6.5493220678117837E-3"/>
          <c:w val="0.87273828774594475"/>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5AD-4662-B77E-D42C0BB6E4FB}"/>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Z'!$E$71:$I$71</c:f>
              <c:numCache>
                <c:formatCode>mmm\-yy</c:formatCode>
                <c:ptCount val="5"/>
                <c:pt idx="0">
                  <c:v>43921</c:v>
                </c:pt>
                <c:pt idx="1">
                  <c:v>44286</c:v>
                </c:pt>
                <c:pt idx="2">
                  <c:v>44651</c:v>
                </c:pt>
                <c:pt idx="3">
                  <c:v>45016</c:v>
                </c:pt>
                <c:pt idx="4">
                  <c:v>45382</c:v>
                </c:pt>
              </c:numCache>
            </c:numRef>
          </c:cat>
          <c:val>
            <c:numRef>
              <c:f>'Altman Z'!$E$73:$I$73</c:f>
              <c:numCache>
                <c:formatCode>#,##0.0</c:formatCode>
                <c:ptCount val="5"/>
                <c:pt idx="0">
                  <c:v>1163015</c:v>
                </c:pt>
                <c:pt idx="1">
                  <c:v>1320065</c:v>
                </c:pt>
                <c:pt idx="2">
                  <c:v>1498622</c:v>
                </c:pt>
                <c:pt idx="3">
                  <c:v>1605882</c:v>
                </c:pt>
                <c:pt idx="4">
                  <c:v>1755048</c:v>
                </c:pt>
              </c:numCache>
            </c:numRef>
          </c:val>
          <c:extLst>
            <c:ext xmlns:c16="http://schemas.microsoft.com/office/drawing/2014/chart" uri="{C3380CC4-5D6E-409C-BE32-E72D297353CC}">
              <c16:uniqueId val="{00000001-C5AD-4662-B77E-D42C0BB6E4FB}"/>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540601810570217E-2"/>
          <c:y val="8.7357262160411772E-2"/>
          <c:w val="0.87917150595629912"/>
          <c:h val="0.86599038756519064"/>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AB9-4516-9AC4-0A8CFE9ED087}"/>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Z'!$D$65:$I$65</c:f>
              <c:numCache>
                <c:formatCode>mmm\-yy</c:formatCode>
                <c:ptCount val="6"/>
                <c:pt idx="0">
                  <c:v>43555</c:v>
                </c:pt>
                <c:pt idx="1">
                  <c:v>43921</c:v>
                </c:pt>
                <c:pt idx="2">
                  <c:v>44286</c:v>
                </c:pt>
                <c:pt idx="3">
                  <c:v>44651</c:v>
                </c:pt>
                <c:pt idx="4">
                  <c:v>45016</c:v>
                </c:pt>
                <c:pt idx="5">
                  <c:v>45382</c:v>
                </c:pt>
              </c:numCache>
            </c:numRef>
          </c:cat>
          <c:val>
            <c:numRef>
              <c:f>'Altman Z'!$D$66:$I$66</c:f>
              <c:numCache>
                <c:formatCode>#,##0.0</c:formatCode>
                <c:ptCount val="6"/>
                <c:pt idx="0">
                  <c:v>-118646</c:v>
                </c:pt>
                <c:pt idx="1">
                  <c:v>-114232</c:v>
                </c:pt>
                <c:pt idx="2">
                  <c:v>-52905</c:v>
                </c:pt>
                <c:pt idx="3">
                  <c:v>-95925</c:v>
                </c:pt>
                <c:pt idx="4">
                  <c:v>-86581</c:v>
                </c:pt>
                <c:pt idx="5">
                  <c:v>-92040</c:v>
                </c:pt>
              </c:numCache>
            </c:numRef>
          </c:val>
          <c:extLst>
            <c:ext xmlns:c16="http://schemas.microsoft.com/office/drawing/2014/chart" uri="{C3380CC4-5D6E-409C-BE32-E72D297353CC}">
              <c16:uniqueId val="{00000003-AAB9-4516-9AC4-0A8CFE9ED087}"/>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66333387212226E-2"/>
          <c:y val="6.5494294942551011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03-4003-8B1F-6A80F98B5933}"/>
                </c:ext>
              </c:extLst>
            </c:dLbl>
            <c:numFmt formatCode="&quot;₹&quot;\ #,##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Z'!$E$71:$I$71</c:f>
              <c:numCache>
                <c:formatCode>mmm\-yy</c:formatCode>
                <c:ptCount val="5"/>
                <c:pt idx="0">
                  <c:v>43921</c:v>
                </c:pt>
                <c:pt idx="1">
                  <c:v>44286</c:v>
                </c:pt>
                <c:pt idx="2">
                  <c:v>44651</c:v>
                </c:pt>
                <c:pt idx="3">
                  <c:v>45016</c:v>
                </c:pt>
                <c:pt idx="4">
                  <c:v>45382</c:v>
                </c:pt>
              </c:numCache>
            </c:numRef>
          </c:cat>
          <c:val>
            <c:numRef>
              <c:f>'Altman Z'!$E$84:$I$84</c:f>
              <c:numCache>
                <c:formatCode>#,##0.0</c:formatCode>
                <c:ptCount val="5"/>
                <c:pt idx="0">
                  <c:v>118373886.31209467</c:v>
                </c:pt>
                <c:pt idx="1">
                  <c:v>126280332.72699642</c:v>
                </c:pt>
                <c:pt idx="2">
                  <c:v>126353635.08100291</c:v>
                </c:pt>
                <c:pt idx="3">
                  <c:v>126355502.5617429</c:v>
                </c:pt>
                <c:pt idx="4">
                  <c:v>126355502.5617429</c:v>
                </c:pt>
              </c:numCache>
            </c:numRef>
          </c:val>
          <c:extLst>
            <c:ext xmlns:c16="http://schemas.microsoft.com/office/drawing/2014/chart" uri="{C3380CC4-5D6E-409C-BE32-E72D297353CC}">
              <c16:uniqueId val="{00000001-D103-4003-8B1F-6A80F98B5933}"/>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540601810570217E-2"/>
          <c:y val="8.7357262160411772E-2"/>
          <c:w val="0.87917150595629912"/>
          <c:h val="0.86599038756519064"/>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B7-4685-8122-900156CFB8E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'Altman Z'!$E$68:$I$68</c:f>
              <c:numCache>
                <c:formatCode>0.00%</c:formatCode>
                <c:ptCount val="5"/>
                <c:pt idx="0">
                  <c:v>-9.8220573251419807E-2</c:v>
                </c:pt>
                <c:pt idx="1">
                  <c:v>-4.0077571937745492E-2</c:v>
                </c:pt>
                <c:pt idx="2">
                  <c:v>-6.4008802753462851E-2</c:v>
                </c:pt>
                <c:pt idx="3">
                  <c:v>-5.391492027434145E-2</c:v>
                </c:pt>
                <c:pt idx="4">
                  <c:v>-5.2443010105706511E-2</c:v>
                </c:pt>
              </c:numCache>
            </c:numRef>
          </c:val>
          <c:extLst>
            <c:ext xmlns:c16="http://schemas.microsoft.com/office/drawing/2014/chart" uri="{C3380CC4-5D6E-409C-BE32-E72D297353CC}">
              <c16:uniqueId val="{00000003-CAB7-4685-8122-900156CFB8ED}"/>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844-41E9-AC30-E4E42E6BF7C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Z'!$E$71:$I$71</c:f>
              <c:numCache>
                <c:formatCode>mmm\-yy</c:formatCode>
                <c:ptCount val="5"/>
                <c:pt idx="0">
                  <c:v>43921</c:v>
                </c:pt>
                <c:pt idx="1">
                  <c:v>44286</c:v>
                </c:pt>
                <c:pt idx="2">
                  <c:v>44651</c:v>
                </c:pt>
                <c:pt idx="3">
                  <c:v>45016</c:v>
                </c:pt>
                <c:pt idx="4">
                  <c:v>45382</c:v>
                </c:pt>
              </c:numCache>
            </c:numRef>
          </c:cat>
          <c:val>
            <c:numRef>
              <c:f>'Altman Z'!$E$80:$I$80</c:f>
              <c:numCache>
                <c:formatCode>0.00%</c:formatCode>
                <c:ptCount val="5"/>
                <c:pt idx="0">
                  <c:v>6.1084336831425216E-2</c:v>
                </c:pt>
                <c:pt idx="1">
                  <c:v>3.8564010105562985E-2</c:v>
                </c:pt>
                <c:pt idx="2">
                  <c:v>3.6462163240630389E-2</c:v>
                </c:pt>
                <c:pt idx="3">
                  <c:v>4.1323708715833414E-2</c:v>
                </c:pt>
                <c:pt idx="4">
                  <c:v>7.2692598720946661E-2</c:v>
                </c:pt>
              </c:numCache>
            </c:numRef>
          </c:val>
          <c:extLst>
            <c:ext xmlns:c16="http://schemas.microsoft.com/office/drawing/2014/chart" uri="{C3380CC4-5D6E-409C-BE32-E72D297353CC}">
              <c16:uniqueId val="{00000001-4844-41E9-AC30-E4E42E6BF7CC}"/>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909644719751933E-2"/>
          <c:y val="6.5493220678117837E-3"/>
          <c:w val="0.87917150595629912"/>
          <c:h val="0.8313585666164035"/>
        </c:manualLayout>
      </c:layout>
      <c:barChart>
        <c:barDir val="col"/>
        <c:grouping val="clustered"/>
        <c:varyColors val="0"/>
        <c:ser>
          <c:idx val="0"/>
          <c:order val="0"/>
          <c:spPr>
            <a:solidFill>
              <a:srgbClr val="002060"/>
            </a:solidFill>
            <a:ln>
              <a:solidFill>
                <a:srgbClr val="002060"/>
              </a:solidFill>
            </a:ln>
            <a:effectLst/>
          </c:spPr>
          <c:invertIfNegative val="0"/>
          <c:dLbls>
            <c:dLbl>
              <c:idx val="0"/>
              <c:layout>
                <c:manualLayout>
                  <c:x val="0"/>
                  <c:y val="-5.23945765424942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49C-47C0-8A1E-DEBA1A536BA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Z'!$E$71:$I$71</c:f>
              <c:numCache>
                <c:formatCode>mmm\-yy</c:formatCode>
                <c:ptCount val="5"/>
                <c:pt idx="0">
                  <c:v>43921</c:v>
                </c:pt>
                <c:pt idx="1">
                  <c:v>44286</c:v>
                </c:pt>
                <c:pt idx="2">
                  <c:v>44651</c:v>
                </c:pt>
                <c:pt idx="3">
                  <c:v>45016</c:v>
                </c:pt>
                <c:pt idx="4">
                  <c:v>45382</c:v>
                </c:pt>
              </c:numCache>
            </c:numRef>
          </c:cat>
          <c:val>
            <c:numRef>
              <c:f>'Altman Z'!$E$86:$I$86</c:f>
              <c:numCache>
                <c:formatCode>0.00\x</c:formatCode>
                <c:ptCount val="5"/>
                <c:pt idx="0">
                  <c:v>333.32268843530358</c:v>
                </c:pt>
                <c:pt idx="1">
                  <c:v>452.67933527504255</c:v>
                </c:pt>
                <c:pt idx="2">
                  <c:v>395.89681311764991</c:v>
                </c:pt>
                <c:pt idx="3">
                  <c:v>279.75553190367816</c:v>
                </c:pt>
                <c:pt idx="4">
                  <c:v>275.2897171442205</c:v>
                </c:pt>
              </c:numCache>
            </c:numRef>
          </c:val>
          <c:extLst>
            <c:ext xmlns:c16="http://schemas.microsoft.com/office/drawing/2014/chart" uri="{C3380CC4-5D6E-409C-BE32-E72D297353CC}">
              <c16:uniqueId val="{00000001-149C-47C0-8A1E-DEBA1A536BAC}"/>
            </c:ext>
          </c:extLst>
        </c:ser>
        <c:dLbls>
          <c:showLegendKey val="0"/>
          <c:showVal val="0"/>
          <c:showCatName val="0"/>
          <c:showSerName val="0"/>
          <c:showPercent val="0"/>
          <c:showBubbleSize val="0"/>
        </c:dLbls>
        <c:gapWidth val="219"/>
        <c:overlap val="-27"/>
        <c:axId val="736432096"/>
        <c:axId val="736434016"/>
      </c:barChart>
      <c:catAx>
        <c:axId val="736432096"/>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36434016"/>
        <c:crosses val="autoZero"/>
        <c:auto val="0"/>
        <c:lblAlgn val="ctr"/>
        <c:lblOffset val="100"/>
        <c:noMultiLvlLbl val="0"/>
      </c:catAx>
      <c:valAx>
        <c:axId val="736434016"/>
        <c:scaling>
          <c:orientation val="minMax"/>
        </c:scaling>
        <c:delete val="1"/>
        <c:axPos val="l"/>
        <c:numFmt formatCode="0.00\x" sourceLinked="1"/>
        <c:majorTickMark val="none"/>
        <c:minorTickMark val="none"/>
        <c:tickLblPos val="nextTo"/>
        <c:crossAx val="736432096"/>
        <c:crosses val="autoZero"/>
        <c:crossBetween val="midCat"/>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Stock!$B$3:$B$263</c:f>
              <c:numCache>
                <c:formatCode>m/d/yyyy</c:formatCode>
                <c:ptCount val="261"/>
                <c:pt idx="0">
                  <c:v>45872</c:v>
                </c:pt>
                <c:pt idx="1">
                  <c:v>45865</c:v>
                </c:pt>
                <c:pt idx="2">
                  <c:v>45858</c:v>
                </c:pt>
                <c:pt idx="3">
                  <c:v>45851</c:v>
                </c:pt>
                <c:pt idx="4">
                  <c:v>45844</c:v>
                </c:pt>
                <c:pt idx="5">
                  <c:v>45837</c:v>
                </c:pt>
                <c:pt idx="6">
                  <c:v>45830</c:v>
                </c:pt>
                <c:pt idx="7">
                  <c:v>45823</c:v>
                </c:pt>
                <c:pt idx="8">
                  <c:v>45816</c:v>
                </c:pt>
                <c:pt idx="9">
                  <c:v>45809</c:v>
                </c:pt>
                <c:pt idx="10">
                  <c:v>45802</c:v>
                </c:pt>
                <c:pt idx="11">
                  <c:v>45795</c:v>
                </c:pt>
                <c:pt idx="12">
                  <c:v>45788</c:v>
                </c:pt>
                <c:pt idx="13">
                  <c:v>45781</c:v>
                </c:pt>
                <c:pt idx="14">
                  <c:v>45774</c:v>
                </c:pt>
                <c:pt idx="15">
                  <c:v>45767</c:v>
                </c:pt>
                <c:pt idx="16">
                  <c:v>45760</c:v>
                </c:pt>
                <c:pt idx="17">
                  <c:v>45753</c:v>
                </c:pt>
                <c:pt idx="18">
                  <c:v>45746</c:v>
                </c:pt>
                <c:pt idx="19">
                  <c:v>45739</c:v>
                </c:pt>
                <c:pt idx="20">
                  <c:v>45732</c:v>
                </c:pt>
                <c:pt idx="21">
                  <c:v>45725</c:v>
                </c:pt>
                <c:pt idx="22">
                  <c:v>45718</c:v>
                </c:pt>
                <c:pt idx="23">
                  <c:v>45711</c:v>
                </c:pt>
                <c:pt idx="24">
                  <c:v>45704</c:v>
                </c:pt>
                <c:pt idx="25">
                  <c:v>45697</c:v>
                </c:pt>
                <c:pt idx="26">
                  <c:v>45690</c:v>
                </c:pt>
                <c:pt idx="27">
                  <c:v>45683</c:v>
                </c:pt>
                <c:pt idx="28">
                  <c:v>45676</c:v>
                </c:pt>
                <c:pt idx="29">
                  <c:v>45669</c:v>
                </c:pt>
                <c:pt idx="30">
                  <c:v>45662</c:v>
                </c:pt>
                <c:pt idx="31">
                  <c:v>45655</c:v>
                </c:pt>
                <c:pt idx="32">
                  <c:v>45648</c:v>
                </c:pt>
                <c:pt idx="33">
                  <c:v>45641</c:v>
                </c:pt>
                <c:pt idx="34">
                  <c:v>45634</c:v>
                </c:pt>
                <c:pt idx="35">
                  <c:v>45627</c:v>
                </c:pt>
                <c:pt idx="36">
                  <c:v>45620</c:v>
                </c:pt>
                <c:pt idx="37">
                  <c:v>45613</c:v>
                </c:pt>
                <c:pt idx="38">
                  <c:v>45606</c:v>
                </c:pt>
                <c:pt idx="39">
                  <c:v>45599</c:v>
                </c:pt>
                <c:pt idx="40">
                  <c:v>45592</c:v>
                </c:pt>
                <c:pt idx="41">
                  <c:v>45585</c:v>
                </c:pt>
                <c:pt idx="42">
                  <c:v>45578</c:v>
                </c:pt>
                <c:pt idx="43">
                  <c:v>45571</c:v>
                </c:pt>
                <c:pt idx="44">
                  <c:v>45564</c:v>
                </c:pt>
                <c:pt idx="45">
                  <c:v>45557</c:v>
                </c:pt>
                <c:pt idx="46">
                  <c:v>45550</c:v>
                </c:pt>
                <c:pt idx="47">
                  <c:v>45543</c:v>
                </c:pt>
                <c:pt idx="48">
                  <c:v>45536</c:v>
                </c:pt>
                <c:pt idx="49">
                  <c:v>45529</c:v>
                </c:pt>
                <c:pt idx="50">
                  <c:v>45522</c:v>
                </c:pt>
                <c:pt idx="51">
                  <c:v>45515</c:v>
                </c:pt>
                <c:pt idx="52">
                  <c:v>45508</c:v>
                </c:pt>
                <c:pt idx="53">
                  <c:v>45501</c:v>
                </c:pt>
                <c:pt idx="54">
                  <c:v>45494</c:v>
                </c:pt>
                <c:pt idx="55">
                  <c:v>45487</c:v>
                </c:pt>
                <c:pt idx="56">
                  <c:v>45480</c:v>
                </c:pt>
                <c:pt idx="57">
                  <c:v>45473</c:v>
                </c:pt>
                <c:pt idx="58">
                  <c:v>45466</c:v>
                </c:pt>
                <c:pt idx="59">
                  <c:v>45459</c:v>
                </c:pt>
                <c:pt idx="60">
                  <c:v>45452</c:v>
                </c:pt>
                <c:pt idx="61">
                  <c:v>45445</c:v>
                </c:pt>
                <c:pt idx="62">
                  <c:v>45438</c:v>
                </c:pt>
                <c:pt idx="63">
                  <c:v>45431</c:v>
                </c:pt>
                <c:pt idx="64">
                  <c:v>45424</c:v>
                </c:pt>
                <c:pt idx="65">
                  <c:v>45417</c:v>
                </c:pt>
                <c:pt idx="66">
                  <c:v>45410</c:v>
                </c:pt>
                <c:pt idx="67">
                  <c:v>45403</c:v>
                </c:pt>
                <c:pt idx="68">
                  <c:v>45396</c:v>
                </c:pt>
                <c:pt idx="69">
                  <c:v>45389</c:v>
                </c:pt>
                <c:pt idx="70">
                  <c:v>45382</c:v>
                </c:pt>
                <c:pt idx="71">
                  <c:v>45375</c:v>
                </c:pt>
                <c:pt idx="72">
                  <c:v>45368</c:v>
                </c:pt>
                <c:pt idx="73">
                  <c:v>45361</c:v>
                </c:pt>
                <c:pt idx="74">
                  <c:v>45354</c:v>
                </c:pt>
                <c:pt idx="75">
                  <c:v>45347</c:v>
                </c:pt>
                <c:pt idx="76">
                  <c:v>45340</c:v>
                </c:pt>
                <c:pt idx="77">
                  <c:v>45333</c:v>
                </c:pt>
                <c:pt idx="78">
                  <c:v>45326</c:v>
                </c:pt>
                <c:pt idx="79">
                  <c:v>45319</c:v>
                </c:pt>
                <c:pt idx="80">
                  <c:v>45312</c:v>
                </c:pt>
                <c:pt idx="81">
                  <c:v>45305</c:v>
                </c:pt>
                <c:pt idx="82">
                  <c:v>45298</c:v>
                </c:pt>
                <c:pt idx="83">
                  <c:v>45291</c:v>
                </c:pt>
                <c:pt idx="84">
                  <c:v>45284</c:v>
                </c:pt>
                <c:pt idx="85">
                  <c:v>45277</c:v>
                </c:pt>
                <c:pt idx="86">
                  <c:v>45270</c:v>
                </c:pt>
                <c:pt idx="87">
                  <c:v>45263</c:v>
                </c:pt>
                <c:pt idx="88">
                  <c:v>45256</c:v>
                </c:pt>
                <c:pt idx="89">
                  <c:v>45249</c:v>
                </c:pt>
                <c:pt idx="90">
                  <c:v>45242</c:v>
                </c:pt>
                <c:pt idx="91">
                  <c:v>45235</c:v>
                </c:pt>
                <c:pt idx="92">
                  <c:v>45228</c:v>
                </c:pt>
                <c:pt idx="93">
                  <c:v>45221</c:v>
                </c:pt>
                <c:pt idx="94">
                  <c:v>45214</c:v>
                </c:pt>
                <c:pt idx="95">
                  <c:v>45207</c:v>
                </c:pt>
                <c:pt idx="96">
                  <c:v>45200</c:v>
                </c:pt>
                <c:pt idx="97">
                  <c:v>45193</c:v>
                </c:pt>
                <c:pt idx="98">
                  <c:v>45186</c:v>
                </c:pt>
                <c:pt idx="99">
                  <c:v>45179</c:v>
                </c:pt>
                <c:pt idx="100">
                  <c:v>45172</c:v>
                </c:pt>
                <c:pt idx="101">
                  <c:v>45165</c:v>
                </c:pt>
                <c:pt idx="102">
                  <c:v>45158</c:v>
                </c:pt>
                <c:pt idx="103">
                  <c:v>45151</c:v>
                </c:pt>
                <c:pt idx="104">
                  <c:v>45144</c:v>
                </c:pt>
                <c:pt idx="105">
                  <c:v>45137</c:v>
                </c:pt>
                <c:pt idx="106">
                  <c:v>45130</c:v>
                </c:pt>
                <c:pt idx="107">
                  <c:v>45123</c:v>
                </c:pt>
                <c:pt idx="108">
                  <c:v>45116</c:v>
                </c:pt>
                <c:pt idx="109">
                  <c:v>45109</c:v>
                </c:pt>
                <c:pt idx="110">
                  <c:v>45102</c:v>
                </c:pt>
                <c:pt idx="111">
                  <c:v>45095</c:v>
                </c:pt>
                <c:pt idx="112">
                  <c:v>45088</c:v>
                </c:pt>
                <c:pt idx="113">
                  <c:v>45081</c:v>
                </c:pt>
                <c:pt idx="114">
                  <c:v>45074</c:v>
                </c:pt>
                <c:pt idx="115">
                  <c:v>45067</c:v>
                </c:pt>
                <c:pt idx="116">
                  <c:v>45060</c:v>
                </c:pt>
                <c:pt idx="117">
                  <c:v>45053</c:v>
                </c:pt>
                <c:pt idx="118">
                  <c:v>45046</c:v>
                </c:pt>
                <c:pt idx="119">
                  <c:v>45039</c:v>
                </c:pt>
                <c:pt idx="120">
                  <c:v>45032</c:v>
                </c:pt>
                <c:pt idx="121">
                  <c:v>45025</c:v>
                </c:pt>
                <c:pt idx="122">
                  <c:v>45018</c:v>
                </c:pt>
                <c:pt idx="123">
                  <c:v>45011</c:v>
                </c:pt>
                <c:pt idx="124">
                  <c:v>45004</c:v>
                </c:pt>
                <c:pt idx="125">
                  <c:v>44997</c:v>
                </c:pt>
                <c:pt idx="126">
                  <c:v>44990</c:v>
                </c:pt>
                <c:pt idx="127">
                  <c:v>44983</c:v>
                </c:pt>
                <c:pt idx="128">
                  <c:v>44976</c:v>
                </c:pt>
                <c:pt idx="129">
                  <c:v>44969</c:v>
                </c:pt>
                <c:pt idx="130">
                  <c:v>44962</c:v>
                </c:pt>
                <c:pt idx="131">
                  <c:v>44955</c:v>
                </c:pt>
                <c:pt idx="132">
                  <c:v>44948</c:v>
                </c:pt>
                <c:pt idx="133">
                  <c:v>44941</c:v>
                </c:pt>
                <c:pt idx="134">
                  <c:v>44934</c:v>
                </c:pt>
                <c:pt idx="135">
                  <c:v>44927</c:v>
                </c:pt>
                <c:pt idx="136">
                  <c:v>44920</c:v>
                </c:pt>
                <c:pt idx="137">
                  <c:v>44913</c:v>
                </c:pt>
                <c:pt idx="138">
                  <c:v>44906</c:v>
                </c:pt>
                <c:pt idx="139">
                  <c:v>44899</c:v>
                </c:pt>
                <c:pt idx="140">
                  <c:v>44892</c:v>
                </c:pt>
                <c:pt idx="141">
                  <c:v>44885</c:v>
                </c:pt>
                <c:pt idx="142">
                  <c:v>44878</c:v>
                </c:pt>
                <c:pt idx="143">
                  <c:v>44871</c:v>
                </c:pt>
                <c:pt idx="144">
                  <c:v>44864</c:v>
                </c:pt>
                <c:pt idx="145">
                  <c:v>44857</c:v>
                </c:pt>
                <c:pt idx="146">
                  <c:v>44850</c:v>
                </c:pt>
                <c:pt idx="147">
                  <c:v>44843</c:v>
                </c:pt>
                <c:pt idx="148">
                  <c:v>44836</c:v>
                </c:pt>
                <c:pt idx="149">
                  <c:v>44829</c:v>
                </c:pt>
                <c:pt idx="150">
                  <c:v>44822</c:v>
                </c:pt>
                <c:pt idx="151">
                  <c:v>44815</c:v>
                </c:pt>
                <c:pt idx="152">
                  <c:v>44808</c:v>
                </c:pt>
                <c:pt idx="153">
                  <c:v>44801</c:v>
                </c:pt>
                <c:pt idx="154">
                  <c:v>44794</c:v>
                </c:pt>
                <c:pt idx="155">
                  <c:v>44787</c:v>
                </c:pt>
                <c:pt idx="156">
                  <c:v>44780</c:v>
                </c:pt>
                <c:pt idx="157">
                  <c:v>44773</c:v>
                </c:pt>
                <c:pt idx="158">
                  <c:v>44766</c:v>
                </c:pt>
                <c:pt idx="159">
                  <c:v>44759</c:v>
                </c:pt>
                <c:pt idx="160">
                  <c:v>44752</c:v>
                </c:pt>
                <c:pt idx="161">
                  <c:v>44745</c:v>
                </c:pt>
                <c:pt idx="162">
                  <c:v>44738</c:v>
                </c:pt>
                <c:pt idx="163">
                  <c:v>44731</c:v>
                </c:pt>
                <c:pt idx="164">
                  <c:v>44724</c:v>
                </c:pt>
                <c:pt idx="165">
                  <c:v>44717</c:v>
                </c:pt>
                <c:pt idx="166">
                  <c:v>44710</c:v>
                </c:pt>
                <c:pt idx="167">
                  <c:v>44703</c:v>
                </c:pt>
                <c:pt idx="168">
                  <c:v>44696</c:v>
                </c:pt>
                <c:pt idx="169">
                  <c:v>44689</c:v>
                </c:pt>
                <c:pt idx="170">
                  <c:v>44682</c:v>
                </c:pt>
                <c:pt idx="171">
                  <c:v>44675</c:v>
                </c:pt>
                <c:pt idx="172">
                  <c:v>44668</c:v>
                </c:pt>
                <c:pt idx="173">
                  <c:v>44661</c:v>
                </c:pt>
                <c:pt idx="174">
                  <c:v>44654</c:v>
                </c:pt>
                <c:pt idx="175">
                  <c:v>44647</c:v>
                </c:pt>
                <c:pt idx="176">
                  <c:v>44640</c:v>
                </c:pt>
                <c:pt idx="177">
                  <c:v>44633</c:v>
                </c:pt>
                <c:pt idx="178">
                  <c:v>44626</c:v>
                </c:pt>
                <c:pt idx="179">
                  <c:v>44619</c:v>
                </c:pt>
                <c:pt idx="180">
                  <c:v>44612</c:v>
                </c:pt>
                <c:pt idx="181">
                  <c:v>44605</c:v>
                </c:pt>
                <c:pt idx="182">
                  <c:v>44598</c:v>
                </c:pt>
                <c:pt idx="183">
                  <c:v>44591</c:v>
                </c:pt>
                <c:pt idx="184">
                  <c:v>44584</c:v>
                </c:pt>
                <c:pt idx="185">
                  <c:v>44577</c:v>
                </c:pt>
                <c:pt idx="186">
                  <c:v>44570</c:v>
                </c:pt>
                <c:pt idx="187">
                  <c:v>44563</c:v>
                </c:pt>
                <c:pt idx="188">
                  <c:v>44556</c:v>
                </c:pt>
                <c:pt idx="189">
                  <c:v>44549</c:v>
                </c:pt>
                <c:pt idx="190">
                  <c:v>44542</c:v>
                </c:pt>
                <c:pt idx="191">
                  <c:v>44535</c:v>
                </c:pt>
                <c:pt idx="192">
                  <c:v>44528</c:v>
                </c:pt>
                <c:pt idx="193">
                  <c:v>44521</c:v>
                </c:pt>
                <c:pt idx="194">
                  <c:v>44514</c:v>
                </c:pt>
                <c:pt idx="195">
                  <c:v>44507</c:v>
                </c:pt>
                <c:pt idx="196">
                  <c:v>44500</c:v>
                </c:pt>
                <c:pt idx="197">
                  <c:v>44493</c:v>
                </c:pt>
                <c:pt idx="198">
                  <c:v>44486</c:v>
                </c:pt>
                <c:pt idx="199">
                  <c:v>44479</c:v>
                </c:pt>
                <c:pt idx="200">
                  <c:v>44472</c:v>
                </c:pt>
                <c:pt idx="201">
                  <c:v>44465</c:v>
                </c:pt>
                <c:pt idx="202">
                  <c:v>44458</c:v>
                </c:pt>
                <c:pt idx="203">
                  <c:v>44451</c:v>
                </c:pt>
                <c:pt idx="204">
                  <c:v>44444</c:v>
                </c:pt>
                <c:pt idx="205">
                  <c:v>44437</c:v>
                </c:pt>
                <c:pt idx="206">
                  <c:v>44430</c:v>
                </c:pt>
                <c:pt idx="207">
                  <c:v>44423</c:v>
                </c:pt>
                <c:pt idx="208">
                  <c:v>44416</c:v>
                </c:pt>
                <c:pt idx="209">
                  <c:v>44409</c:v>
                </c:pt>
                <c:pt idx="210">
                  <c:v>44402</c:v>
                </c:pt>
                <c:pt idx="211">
                  <c:v>44395</c:v>
                </c:pt>
                <c:pt idx="212">
                  <c:v>44388</c:v>
                </c:pt>
                <c:pt idx="213">
                  <c:v>44381</c:v>
                </c:pt>
                <c:pt idx="214">
                  <c:v>44374</c:v>
                </c:pt>
                <c:pt idx="215">
                  <c:v>44367</c:v>
                </c:pt>
                <c:pt idx="216">
                  <c:v>44360</c:v>
                </c:pt>
                <c:pt idx="217">
                  <c:v>44353</c:v>
                </c:pt>
                <c:pt idx="218">
                  <c:v>44346</c:v>
                </c:pt>
                <c:pt idx="219">
                  <c:v>44339</c:v>
                </c:pt>
                <c:pt idx="220">
                  <c:v>44332</c:v>
                </c:pt>
                <c:pt idx="221">
                  <c:v>44325</c:v>
                </c:pt>
                <c:pt idx="222">
                  <c:v>44318</c:v>
                </c:pt>
                <c:pt idx="223">
                  <c:v>44311</c:v>
                </c:pt>
                <c:pt idx="224">
                  <c:v>44304</c:v>
                </c:pt>
                <c:pt idx="225">
                  <c:v>44297</c:v>
                </c:pt>
                <c:pt idx="226">
                  <c:v>44290</c:v>
                </c:pt>
                <c:pt idx="227">
                  <c:v>44283</c:v>
                </c:pt>
                <c:pt idx="228">
                  <c:v>44276</c:v>
                </c:pt>
                <c:pt idx="229">
                  <c:v>44269</c:v>
                </c:pt>
                <c:pt idx="230">
                  <c:v>44262</c:v>
                </c:pt>
                <c:pt idx="231">
                  <c:v>44255</c:v>
                </c:pt>
                <c:pt idx="232">
                  <c:v>44248</c:v>
                </c:pt>
                <c:pt idx="233">
                  <c:v>44241</c:v>
                </c:pt>
                <c:pt idx="234">
                  <c:v>44234</c:v>
                </c:pt>
                <c:pt idx="235">
                  <c:v>44227</c:v>
                </c:pt>
                <c:pt idx="236">
                  <c:v>44220</c:v>
                </c:pt>
                <c:pt idx="237">
                  <c:v>44213</c:v>
                </c:pt>
                <c:pt idx="238">
                  <c:v>44206</c:v>
                </c:pt>
                <c:pt idx="239">
                  <c:v>44199</c:v>
                </c:pt>
                <c:pt idx="240">
                  <c:v>44192</c:v>
                </c:pt>
                <c:pt idx="241">
                  <c:v>44185</c:v>
                </c:pt>
                <c:pt idx="242">
                  <c:v>44178</c:v>
                </c:pt>
                <c:pt idx="243">
                  <c:v>44171</c:v>
                </c:pt>
                <c:pt idx="244">
                  <c:v>44164</c:v>
                </c:pt>
                <c:pt idx="245">
                  <c:v>44157</c:v>
                </c:pt>
                <c:pt idx="246">
                  <c:v>44150</c:v>
                </c:pt>
                <c:pt idx="247">
                  <c:v>44143</c:v>
                </c:pt>
                <c:pt idx="248">
                  <c:v>44136</c:v>
                </c:pt>
                <c:pt idx="249">
                  <c:v>44129</c:v>
                </c:pt>
                <c:pt idx="250">
                  <c:v>44122</c:v>
                </c:pt>
                <c:pt idx="251">
                  <c:v>44115</c:v>
                </c:pt>
                <c:pt idx="252">
                  <c:v>44108</c:v>
                </c:pt>
                <c:pt idx="253">
                  <c:v>44101</c:v>
                </c:pt>
                <c:pt idx="254">
                  <c:v>44094</c:v>
                </c:pt>
                <c:pt idx="255">
                  <c:v>44087</c:v>
                </c:pt>
                <c:pt idx="256">
                  <c:v>44080</c:v>
                </c:pt>
                <c:pt idx="257">
                  <c:v>44073</c:v>
                </c:pt>
                <c:pt idx="258">
                  <c:v>44066</c:v>
                </c:pt>
                <c:pt idx="259">
                  <c:v>44059</c:v>
                </c:pt>
                <c:pt idx="260">
                  <c:v>44052</c:v>
                </c:pt>
              </c:numCache>
            </c:numRef>
          </c:cat>
          <c:val>
            <c:numRef>
              <c:f>Stock!$C$3:$C$263</c:f>
              <c:numCache>
                <c:formatCode>#,##0.00</c:formatCode>
                <c:ptCount val="261"/>
                <c:pt idx="0">
                  <c:v>1389.4</c:v>
                </c:pt>
                <c:pt idx="1">
                  <c:v>1393.7</c:v>
                </c:pt>
                <c:pt idx="2">
                  <c:v>1391.7</c:v>
                </c:pt>
                <c:pt idx="3">
                  <c:v>1476</c:v>
                </c:pt>
                <c:pt idx="4">
                  <c:v>1495.2</c:v>
                </c:pt>
                <c:pt idx="5">
                  <c:v>1527.3</c:v>
                </c:pt>
                <c:pt idx="6">
                  <c:v>1515.4</c:v>
                </c:pt>
                <c:pt idx="7">
                  <c:v>1466.2</c:v>
                </c:pt>
                <c:pt idx="8">
                  <c:v>1427.9</c:v>
                </c:pt>
                <c:pt idx="9">
                  <c:v>1443.5</c:v>
                </c:pt>
                <c:pt idx="10">
                  <c:v>1420.9</c:v>
                </c:pt>
                <c:pt idx="11">
                  <c:v>1426.8</c:v>
                </c:pt>
                <c:pt idx="12">
                  <c:v>1456.4</c:v>
                </c:pt>
                <c:pt idx="13">
                  <c:v>1377.2</c:v>
                </c:pt>
                <c:pt idx="14">
                  <c:v>1422.4</c:v>
                </c:pt>
                <c:pt idx="15">
                  <c:v>1300.4000000000001</c:v>
                </c:pt>
                <c:pt idx="16">
                  <c:v>1274.5</c:v>
                </c:pt>
                <c:pt idx="17">
                  <c:v>1218.95</c:v>
                </c:pt>
                <c:pt idx="18">
                  <c:v>1204.7</c:v>
                </c:pt>
                <c:pt idx="19">
                  <c:v>1275.0999999999999</c:v>
                </c:pt>
                <c:pt idx="20">
                  <c:v>1276.3499999999999</c:v>
                </c:pt>
                <c:pt idx="21">
                  <c:v>1247.9000000000001</c:v>
                </c:pt>
                <c:pt idx="22">
                  <c:v>1249.8</c:v>
                </c:pt>
                <c:pt idx="23">
                  <c:v>1200.0999999999999</c:v>
                </c:pt>
                <c:pt idx="24">
                  <c:v>1228.1500000000001</c:v>
                </c:pt>
                <c:pt idx="25">
                  <c:v>1217.25</c:v>
                </c:pt>
                <c:pt idx="26">
                  <c:v>1266.7</c:v>
                </c:pt>
                <c:pt idx="27">
                  <c:v>1265.0999999999999</c:v>
                </c:pt>
                <c:pt idx="28">
                  <c:v>1246.3</c:v>
                </c:pt>
                <c:pt idx="29">
                  <c:v>1302.3499999999999</c:v>
                </c:pt>
                <c:pt idx="30">
                  <c:v>1241.9000000000001</c:v>
                </c:pt>
                <c:pt idx="31">
                  <c:v>1251.1500000000001</c:v>
                </c:pt>
                <c:pt idx="32">
                  <c:v>1221.05</c:v>
                </c:pt>
                <c:pt idx="33">
                  <c:v>1205.3</c:v>
                </c:pt>
                <c:pt idx="34">
                  <c:v>1272.8499999999999</c:v>
                </c:pt>
                <c:pt idx="35">
                  <c:v>1311.55</c:v>
                </c:pt>
                <c:pt idx="36">
                  <c:v>1292.2</c:v>
                </c:pt>
                <c:pt idx="37">
                  <c:v>1265.4000000000001</c:v>
                </c:pt>
                <c:pt idx="38">
                  <c:v>1267.5999999999999</c:v>
                </c:pt>
                <c:pt idx="39">
                  <c:v>1283.75</c:v>
                </c:pt>
                <c:pt idx="40">
                  <c:v>1338.65</c:v>
                </c:pt>
                <c:pt idx="41">
                  <c:v>1327.85</c:v>
                </c:pt>
                <c:pt idx="42">
                  <c:v>1359.3</c:v>
                </c:pt>
                <c:pt idx="43">
                  <c:v>1372.1</c:v>
                </c:pt>
                <c:pt idx="44">
                  <c:v>1386.53</c:v>
                </c:pt>
                <c:pt idx="45">
                  <c:v>1526.18</c:v>
                </c:pt>
                <c:pt idx="46">
                  <c:v>1485.93</c:v>
                </c:pt>
                <c:pt idx="47">
                  <c:v>1472.63</c:v>
                </c:pt>
                <c:pt idx="48">
                  <c:v>1464.82</c:v>
                </c:pt>
                <c:pt idx="49">
                  <c:v>1509.63</c:v>
                </c:pt>
                <c:pt idx="50">
                  <c:v>1499.97</c:v>
                </c:pt>
                <c:pt idx="51">
                  <c:v>1478.2</c:v>
                </c:pt>
                <c:pt idx="52">
                  <c:v>1474.3</c:v>
                </c:pt>
                <c:pt idx="53">
                  <c:v>1499.32</c:v>
                </c:pt>
                <c:pt idx="54">
                  <c:v>1509.03</c:v>
                </c:pt>
                <c:pt idx="55">
                  <c:v>1555.15</c:v>
                </c:pt>
                <c:pt idx="56">
                  <c:v>1596.72</c:v>
                </c:pt>
                <c:pt idx="57">
                  <c:v>1588.63</c:v>
                </c:pt>
                <c:pt idx="58">
                  <c:v>1565.4</c:v>
                </c:pt>
                <c:pt idx="59">
                  <c:v>1454.2</c:v>
                </c:pt>
                <c:pt idx="60">
                  <c:v>1477.55</c:v>
                </c:pt>
                <c:pt idx="61">
                  <c:v>1469.95</c:v>
                </c:pt>
                <c:pt idx="62">
                  <c:v>1430.4</c:v>
                </c:pt>
                <c:pt idx="63">
                  <c:v>1480.25</c:v>
                </c:pt>
                <c:pt idx="64">
                  <c:v>1435.7</c:v>
                </c:pt>
                <c:pt idx="65">
                  <c:v>1407.43</c:v>
                </c:pt>
                <c:pt idx="66">
                  <c:v>1434</c:v>
                </c:pt>
                <c:pt idx="67">
                  <c:v>1452.55</c:v>
                </c:pt>
                <c:pt idx="68">
                  <c:v>1470.13</c:v>
                </c:pt>
                <c:pt idx="69">
                  <c:v>1467.15</c:v>
                </c:pt>
                <c:pt idx="70">
                  <c:v>1460.1</c:v>
                </c:pt>
                <c:pt idx="71">
                  <c:v>1485.85</c:v>
                </c:pt>
                <c:pt idx="72">
                  <c:v>1455.03</c:v>
                </c:pt>
                <c:pt idx="73">
                  <c:v>1418.22</c:v>
                </c:pt>
                <c:pt idx="74">
                  <c:v>1478.93</c:v>
                </c:pt>
                <c:pt idx="75">
                  <c:v>1492.13</c:v>
                </c:pt>
                <c:pt idx="76">
                  <c:v>1493.63</c:v>
                </c:pt>
                <c:pt idx="77">
                  <c:v>1460.57</c:v>
                </c:pt>
                <c:pt idx="78">
                  <c:v>1460.75</c:v>
                </c:pt>
                <c:pt idx="79">
                  <c:v>1457.7</c:v>
                </c:pt>
                <c:pt idx="80">
                  <c:v>1353.07</c:v>
                </c:pt>
                <c:pt idx="81">
                  <c:v>1367.45</c:v>
                </c:pt>
                <c:pt idx="82">
                  <c:v>1370.72</c:v>
                </c:pt>
                <c:pt idx="83">
                  <c:v>1303.8499999999999</c:v>
                </c:pt>
                <c:pt idx="84">
                  <c:v>1292.47</c:v>
                </c:pt>
                <c:pt idx="85">
                  <c:v>1282.53</c:v>
                </c:pt>
                <c:pt idx="86">
                  <c:v>1247.8</c:v>
                </c:pt>
                <c:pt idx="87">
                  <c:v>1227.8800000000001</c:v>
                </c:pt>
                <c:pt idx="88">
                  <c:v>1197.1500000000001</c:v>
                </c:pt>
                <c:pt idx="89">
                  <c:v>1196.95</c:v>
                </c:pt>
                <c:pt idx="90">
                  <c:v>1177.78</c:v>
                </c:pt>
                <c:pt idx="91">
                  <c:v>1157.45</c:v>
                </c:pt>
                <c:pt idx="92">
                  <c:v>1159.8499999999999</c:v>
                </c:pt>
                <c:pt idx="93">
                  <c:v>1132.9000000000001</c:v>
                </c:pt>
                <c:pt idx="94">
                  <c:v>1149.55</c:v>
                </c:pt>
                <c:pt idx="95">
                  <c:v>1174.6500000000001</c:v>
                </c:pt>
                <c:pt idx="96">
                  <c:v>1159</c:v>
                </c:pt>
                <c:pt idx="97">
                  <c:v>1172.5</c:v>
                </c:pt>
                <c:pt idx="98">
                  <c:v>1177.47</c:v>
                </c:pt>
                <c:pt idx="99">
                  <c:v>1228.93</c:v>
                </c:pt>
                <c:pt idx="100">
                  <c:v>1224.0999999999999</c:v>
                </c:pt>
                <c:pt idx="101">
                  <c:v>1206.32</c:v>
                </c:pt>
                <c:pt idx="102">
                  <c:v>1234.18</c:v>
                </c:pt>
                <c:pt idx="103">
                  <c:v>1278.4000000000001</c:v>
                </c:pt>
                <c:pt idx="104">
                  <c:v>1273.57</c:v>
                </c:pt>
                <c:pt idx="105">
                  <c:v>1254.78</c:v>
                </c:pt>
                <c:pt idx="106">
                  <c:v>1263.93</c:v>
                </c:pt>
                <c:pt idx="107">
                  <c:v>1269.3800000000001</c:v>
                </c:pt>
                <c:pt idx="108">
                  <c:v>1244.08</c:v>
                </c:pt>
                <c:pt idx="109">
                  <c:v>1195.47</c:v>
                </c:pt>
                <c:pt idx="110">
                  <c:v>1157.6300000000001</c:v>
                </c:pt>
                <c:pt idx="111">
                  <c:v>1141.52</c:v>
                </c:pt>
                <c:pt idx="112">
                  <c:v>1169.96</c:v>
                </c:pt>
                <c:pt idx="113">
                  <c:v>1126.6300000000001</c:v>
                </c:pt>
                <c:pt idx="114">
                  <c:v>1114.49</c:v>
                </c:pt>
                <c:pt idx="115">
                  <c:v>1137.77</c:v>
                </c:pt>
                <c:pt idx="116">
                  <c:v>1108.47</c:v>
                </c:pt>
                <c:pt idx="117">
                  <c:v>1127.72</c:v>
                </c:pt>
                <c:pt idx="118">
                  <c:v>1108.3800000000001</c:v>
                </c:pt>
                <c:pt idx="119">
                  <c:v>1098.74</c:v>
                </c:pt>
                <c:pt idx="120">
                  <c:v>1066.28</c:v>
                </c:pt>
                <c:pt idx="121">
                  <c:v>1069.23</c:v>
                </c:pt>
                <c:pt idx="122">
                  <c:v>1062.8499999999999</c:v>
                </c:pt>
                <c:pt idx="123">
                  <c:v>1058.1300000000001</c:v>
                </c:pt>
                <c:pt idx="124">
                  <c:v>1000.14</c:v>
                </c:pt>
                <c:pt idx="125">
                  <c:v>1009.13</c:v>
                </c:pt>
                <c:pt idx="126">
                  <c:v>1054.3399999999999</c:v>
                </c:pt>
                <c:pt idx="127">
                  <c:v>1082.8</c:v>
                </c:pt>
                <c:pt idx="128">
                  <c:v>1082.03</c:v>
                </c:pt>
                <c:pt idx="129">
                  <c:v>1107.68</c:v>
                </c:pt>
                <c:pt idx="130">
                  <c:v>1060.67</c:v>
                </c:pt>
                <c:pt idx="131">
                  <c:v>1057.2</c:v>
                </c:pt>
                <c:pt idx="132">
                  <c:v>1060.99</c:v>
                </c:pt>
                <c:pt idx="133">
                  <c:v>1108.79</c:v>
                </c:pt>
                <c:pt idx="134">
                  <c:v>1120.1199999999999</c:v>
                </c:pt>
                <c:pt idx="135">
                  <c:v>1151.57</c:v>
                </c:pt>
                <c:pt idx="136">
                  <c:v>1156.25</c:v>
                </c:pt>
                <c:pt idx="137">
                  <c:v>1135.82</c:v>
                </c:pt>
                <c:pt idx="138">
                  <c:v>1164.5999999999999</c:v>
                </c:pt>
                <c:pt idx="139">
                  <c:v>1184.3499999999999</c:v>
                </c:pt>
                <c:pt idx="140">
                  <c:v>1235.6600000000001</c:v>
                </c:pt>
                <c:pt idx="141">
                  <c:v>1188.21</c:v>
                </c:pt>
                <c:pt idx="142">
                  <c:v>1179.1500000000001</c:v>
                </c:pt>
                <c:pt idx="143">
                  <c:v>1194.6500000000001</c:v>
                </c:pt>
                <c:pt idx="144">
                  <c:v>1176.93</c:v>
                </c:pt>
                <c:pt idx="145">
                  <c:v>1146.69</c:v>
                </c:pt>
                <c:pt idx="146">
                  <c:v>1121.93</c:v>
                </c:pt>
                <c:pt idx="147">
                  <c:v>1076.1300000000001</c:v>
                </c:pt>
                <c:pt idx="148">
                  <c:v>1104.1099999999999</c:v>
                </c:pt>
                <c:pt idx="149">
                  <c:v>1079.33</c:v>
                </c:pt>
                <c:pt idx="150">
                  <c:v>1107.3599999999999</c:v>
                </c:pt>
                <c:pt idx="151">
                  <c:v>1134.46</c:v>
                </c:pt>
                <c:pt idx="152">
                  <c:v>1166.28</c:v>
                </c:pt>
                <c:pt idx="153">
                  <c:v>1148.67</c:v>
                </c:pt>
                <c:pt idx="154">
                  <c:v>1188.3900000000001</c:v>
                </c:pt>
                <c:pt idx="155">
                  <c:v>1186.5</c:v>
                </c:pt>
                <c:pt idx="156">
                  <c:v>1195.2</c:v>
                </c:pt>
                <c:pt idx="157">
                  <c:v>1150.26</c:v>
                </c:pt>
                <c:pt idx="158">
                  <c:v>1139.1099999999999</c:v>
                </c:pt>
                <c:pt idx="159">
                  <c:v>1136.23</c:v>
                </c:pt>
                <c:pt idx="160">
                  <c:v>1090.25</c:v>
                </c:pt>
                <c:pt idx="161">
                  <c:v>1085.53</c:v>
                </c:pt>
                <c:pt idx="162">
                  <c:v>1093.3800000000001</c:v>
                </c:pt>
                <c:pt idx="163">
                  <c:v>1134.8499999999999</c:v>
                </c:pt>
                <c:pt idx="164">
                  <c:v>1175.68</c:v>
                </c:pt>
                <c:pt idx="165">
                  <c:v>1232.08</c:v>
                </c:pt>
                <c:pt idx="166">
                  <c:v>1261.7</c:v>
                </c:pt>
                <c:pt idx="167">
                  <c:v>1168.9100000000001</c:v>
                </c:pt>
                <c:pt idx="168">
                  <c:v>1191.31</c:v>
                </c:pt>
                <c:pt idx="169">
                  <c:v>1101.51</c:v>
                </c:pt>
                <c:pt idx="170">
                  <c:v>1189.5899999999999</c:v>
                </c:pt>
                <c:pt idx="171">
                  <c:v>1266.58</c:v>
                </c:pt>
                <c:pt idx="172">
                  <c:v>1252.3</c:v>
                </c:pt>
                <c:pt idx="173">
                  <c:v>1158.27</c:v>
                </c:pt>
                <c:pt idx="174">
                  <c:v>1187.32</c:v>
                </c:pt>
                <c:pt idx="175">
                  <c:v>1205.57</c:v>
                </c:pt>
                <c:pt idx="176">
                  <c:v>1178.33</c:v>
                </c:pt>
                <c:pt idx="177">
                  <c:v>1126.52</c:v>
                </c:pt>
                <c:pt idx="178">
                  <c:v>1089.05</c:v>
                </c:pt>
                <c:pt idx="179">
                  <c:v>1055.6400000000001</c:v>
                </c:pt>
                <c:pt idx="180">
                  <c:v>1036.75</c:v>
                </c:pt>
                <c:pt idx="181">
                  <c:v>1100.51</c:v>
                </c:pt>
                <c:pt idx="182">
                  <c:v>1078.72</c:v>
                </c:pt>
                <c:pt idx="183">
                  <c:v>1058.25</c:v>
                </c:pt>
                <c:pt idx="184">
                  <c:v>1060.31</c:v>
                </c:pt>
                <c:pt idx="185">
                  <c:v>1124.77</c:v>
                </c:pt>
                <c:pt idx="186">
                  <c:v>1152.53</c:v>
                </c:pt>
                <c:pt idx="187">
                  <c:v>1105.77</c:v>
                </c:pt>
                <c:pt idx="188">
                  <c:v>1074.97</c:v>
                </c:pt>
                <c:pt idx="189">
                  <c:v>1077.08</c:v>
                </c:pt>
                <c:pt idx="190">
                  <c:v>1062.4000000000001</c:v>
                </c:pt>
                <c:pt idx="191">
                  <c:v>1116.19</c:v>
                </c:pt>
                <c:pt idx="192">
                  <c:v>1093.18</c:v>
                </c:pt>
                <c:pt idx="193">
                  <c:v>1095.1500000000001</c:v>
                </c:pt>
                <c:pt idx="194">
                  <c:v>1122.7</c:v>
                </c:pt>
                <c:pt idx="195">
                  <c:v>1177.08</c:v>
                </c:pt>
                <c:pt idx="196">
                  <c:v>1134.3</c:v>
                </c:pt>
                <c:pt idx="197">
                  <c:v>1151.28</c:v>
                </c:pt>
                <c:pt idx="198">
                  <c:v>1192.6500000000001</c:v>
                </c:pt>
                <c:pt idx="199">
                  <c:v>1225.79</c:v>
                </c:pt>
                <c:pt idx="200">
                  <c:v>1212.56</c:v>
                </c:pt>
                <c:pt idx="201">
                  <c:v>1145.58</c:v>
                </c:pt>
                <c:pt idx="202">
                  <c:v>1126.97</c:v>
                </c:pt>
                <c:pt idx="203">
                  <c:v>1085.1400000000001</c:v>
                </c:pt>
                <c:pt idx="204">
                  <c:v>1101.05</c:v>
                </c:pt>
                <c:pt idx="205">
                  <c:v>1084.21</c:v>
                </c:pt>
                <c:pt idx="206">
                  <c:v>1011.08</c:v>
                </c:pt>
                <c:pt idx="207" formatCode="General">
                  <c:v>975.15</c:v>
                </c:pt>
                <c:pt idx="208" formatCode="General">
                  <c:v>973.97</c:v>
                </c:pt>
                <c:pt idx="209" formatCode="General">
                  <c:v>948.28</c:v>
                </c:pt>
                <c:pt idx="210" formatCode="General">
                  <c:v>923.88</c:v>
                </c:pt>
                <c:pt idx="211" formatCode="General">
                  <c:v>955.84</c:v>
                </c:pt>
                <c:pt idx="212" formatCode="General">
                  <c:v>958.88</c:v>
                </c:pt>
                <c:pt idx="213" formatCode="General">
                  <c:v>940.18</c:v>
                </c:pt>
                <c:pt idx="214" formatCode="General">
                  <c:v>966.44</c:v>
                </c:pt>
                <c:pt idx="215" formatCode="General">
                  <c:v>955.27</c:v>
                </c:pt>
                <c:pt idx="216">
                  <c:v>1010.29</c:v>
                </c:pt>
                <c:pt idx="217">
                  <c:v>1004.61</c:v>
                </c:pt>
                <c:pt idx="218" formatCode="General">
                  <c:v>994.33</c:v>
                </c:pt>
                <c:pt idx="219" formatCode="General">
                  <c:v>950.89</c:v>
                </c:pt>
                <c:pt idx="220" formatCode="General">
                  <c:v>909.02</c:v>
                </c:pt>
                <c:pt idx="221" formatCode="General">
                  <c:v>879.4</c:v>
                </c:pt>
                <c:pt idx="222" formatCode="General">
                  <c:v>876.88</c:v>
                </c:pt>
                <c:pt idx="223" formatCode="General">
                  <c:v>905.36</c:v>
                </c:pt>
                <c:pt idx="224" formatCode="General">
                  <c:v>864.44</c:v>
                </c:pt>
                <c:pt idx="225" formatCode="General">
                  <c:v>877.04</c:v>
                </c:pt>
                <c:pt idx="226" formatCode="General">
                  <c:v>899.71</c:v>
                </c:pt>
                <c:pt idx="227" formatCode="General">
                  <c:v>917.78</c:v>
                </c:pt>
                <c:pt idx="228" formatCode="General">
                  <c:v>905.43</c:v>
                </c:pt>
                <c:pt idx="229" formatCode="General">
                  <c:v>945.08</c:v>
                </c:pt>
                <c:pt idx="230" formatCode="General">
                  <c:v>970.32</c:v>
                </c:pt>
                <c:pt idx="231" formatCode="General">
                  <c:v>988.98</c:v>
                </c:pt>
                <c:pt idx="232" formatCode="General">
                  <c:v>946.81</c:v>
                </c:pt>
                <c:pt idx="233" formatCode="General">
                  <c:v>944.31</c:v>
                </c:pt>
                <c:pt idx="234" formatCode="General">
                  <c:v>926.74</c:v>
                </c:pt>
                <c:pt idx="235" formatCode="General">
                  <c:v>873.25</c:v>
                </c:pt>
                <c:pt idx="236" formatCode="General">
                  <c:v>836.11</c:v>
                </c:pt>
                <c:pt idx="237" formatCode="General">
                  <c:v>930.37</c:v>
                </c:pt>
                <c:pt idx="238" formatCode="General">
                  <c:v>879.47</c:v>
                </c:pt>
                <c:pt idx="239" formatCode="General">
                  <c:v>877.76</c:v>
                </c:pt>
                <c:pt idx="240" formatCode="General">
                  <c:v>902.18</c:v>
                </c:pt>
                <c:pt idx="241" formatCode="General">
                  <c:v>905.2</c:v>
                </c:pt>
                <c:pt idx="242" formatCode="General">
                  <c:v>904.02</c:v>
                </c:pt>
                <c:pt idx="243" formatCode="General">
                  <c:v>910.49</c:v>
                </c:pt>
                <c:pt idx="244" formatCode="General">
                  <c:v>883.69</c:v>
                </c:pt>
                <c:pt idx="245" formatCode="General">
                  <c:v>875.99</c:v>
                </c:pt>
                <c:pt idx="246" formatCode="General">
                  <c:v>862.24</c:v>
                </c:pt>
                <c:pt idx="247" formatCode="General">
                  <c:v>906.22</c:v>
                </c:pt>
                <c:pt idx="248" formatCode="General">
                  <c:v>921.09</c:v>
                </c:pt>
                <c:pt idx="249" formatCode="General">
                  <c:v>932.6</c:v>
                </c:pt>
                <c:pt idx="250" formatCode="General">
                  <c:v>959.18</c:v>
                </c:pt>
                <c:pt idx="251" formatCode="General">
                  <c:v>987.66</c:v>
                </c:pt>
                <c:pt idx="252">
                  <c:v>1013.83</c:v>
                </c:pt>
                <c:pt idx="253">
                  <c:v>1010.11</c:v>
                </c:pt>
                <c:pt idx="254" formatCode="General">
                  <c:v>999.42</c:v>
                </c:pt>
                <c:pt idx="255">
                  <c:v>1046.6300000000001</c:v>
                </c:pt>
                <c:pt idx="256">
                  <c:v>1053</c:v>
                </c:pt>
                <c:pt idx="257" formatCode="General">
                  <c:v>942.92</c:v>
                </c:pt>
                <c:pt idx="258" formatCode="General">
                  <c:v>960.58</c:v>
                </c:pt>
                <c:pt idx="259" formatCode="General">
                  <c:v>945.01</c:v>
                </c:pt>
                <c:pt idx="260" formatCode="General">
                  <c:v>959.52</c:v>
                </c:pt>
              </c:numCache>
            </c:numRef>
          </c:val>
          <c:smooth val="0"/>
          <c:extLst>
            <c:ext xmlns:c16="http://schemas.microsoft.com/office/drawing/2014/chart" uri="{C3380CC4-5D6E-409C-BE32-E72D297353CC}">
              <c16:uniqueId val="{00000000-B9DF-4D69-A17E-2142E11CF96C}"/>
            </c:ext>
          </c:extLst>
        </c:ser>
        <c:dLbls>
          <c:showLegendKey val="0"/>
          <c:showVal val="0"/>
          <c:showCatName val="0"/>
          <c:showSerName val="0"/>
          <c:showPercent val="0"/>
          <c:showBubbleSize val="0"/>
        </c:dLbls>
        <c:smooth val="0"/>
        <c:axId val="715107504"/>
        <c:axId val="715107024"/>
      </c:lineChart>
      <c:dateAx>
        <c:axId val="715107504"/>
        <c:scaling>
          <c:orientation val="minMax"/>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107024"/>
        <c:crosses val="autoZero"/>
        <c:auto val="0"/>
        <c:lblOffset val="100"/>
        <c:baseTimeUnit val="days"/>
      </c:dateAx>
      <c:valAx>
        <c:axId val="715107024"/>
        <c:scaling>
          <c:orientation val="minMax"/>
          <c:max val="2000"/>
          <c:min val="8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107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Stock!$P$28:$P$31</c:f>
              <c:strCache>
                <c:ptCount val="4"/>
                <c:pt idx="0">
                  <c:v>Promoters</c:v>
                </c:pt>
                <c:pt idx="1">
                  <c:v>FIIS</c:v>
                </c:pt>
                <c:pt idx="2">
                  <c:v>DIIS</c:v>
                </c:pt>
                <c:pt idx="3">
                  <c:v>Public</c:v>
                </c:pt>
              </c:strCache>
            </c:strRef>
          </c:cat>
          <c:val>
            <c:numRef>
              <c:f>Stock!$Q$28:$Q$31</c:f>
              <c:numCache>
                <c:formatCode>0.00%</c:formatCode>
                <c:ptCount val="4"/>
                <c:pt idx="0">
                  <c:v>0.50070000000000003</c:v>
                </c:pt>
                <c:pt idx="1">
                  <c:v>0.19070000000000001</c:v>
                </c:pt>
                <c:pt idx="2">
                  <c:v>0.19722000000000001</c:v>
                </c:pt>
                <c:pt idx="3">
                  <c:v>0.1084</c:v>
                </c:pt>
              </c:numCache>
            </c:numRef>
          </c:val>
          <c:extLst>
            <c:ext xmlns:c16="http://schemas.microsoft.com/office/drawing/2014/chart" uri="{C3380CC4-5D6E-409C-BE32-E72D297353CC}">
              <c16:uniqueId val="{00000000-BD43-4106-8BDF-A4A6E8E4D800}"/>
            </c:ext>
          </c:extLst>
        </c:ser>
        <c:dLbls>
          <c:showLegendKey val="0"/>
          <c:showVal val="0"/>
          <c:showCatName val="0"/>
          <c:showSerName val="0"/>
          <c:showPercent val="0"/>
          <c:showBubbleSize val="0"/>
        </c:dLbls>
        <c:gapWidth val="182"/>
        <c:axId val="628810976"/>
        <c:axId val="628812416"/>
      </c:barChart>
      <c:catAx>
        <c:axId val="628810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12416"/>
        <c:crosses val="autoZero"/>
        <c:auto val="1"/>
        <c:lblAlgn val="ctr"/>
        <c:lblOffset val="100"/>
        <c:noMultiLvlLbl val="0"/>
      </c:catAx>
      <c:valAx>
        <c:axId val="6288124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1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2.png"/><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2.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image" Target="../media/image2.png"/><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editAs="oneCell">
    <xdr:from>
      <xdr:col>1</xdr:col>
      <xdr:colOff>430440</xdr:colOff>
      <xdr:row>2</xdr:row>
      <xdr:rowOff>36373</xdr:rowOff>
    </xdr:from>
    <xdr:to>
      <xdr:col>3</xdr:col>
      <xdr:colOff>176892</xdr:colOff>
      <xdr:row>3</xdr:row>
      <xdr:rowOff>285750</xdr:rowOff>
    </xdr:to>
    <xdr:pic>
      <xdr:nvPicPr>
        <xdr:cNvPr id="2" name="Picture 1" descr="Reliance Industries Limited Logo Logo and symbol, meaning, history, PNG">
          <a:extLst>
            <a:ext uri="{FF2B5EF4-FFF2-40B4-BE49-F238E27FC236}">
              <a16:creationId xmlns:a16="http://schemas.microsoft.com/office/drawing/2014/main" id="{BAA554E9-20F1-4E82-8AA7-85DD3E569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0119" y="471802"/>
          <a:ext cx="2304595" cy="1256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66672</xdr:colOff>
      <xdr:row>6</xdr:row>
      <xdr:rowOff>38101</xdr:rowOff>
    </xdr:from>
    <xdr:to>
      <xdr:col>13</xdr:col>
      <xdr:colOff>47625</xdr:colOff>
      <xdr:row>17</xdr:row>
      <xdr:rowOff>114300</xdr:rowOff>
    </xdr:to>
    <xdr:graphicFrame macro="">
      <xdr:nvGraphicFramePr>
        <xdr:cNvPr id="3" name="Chart 2">
          <a:extLst>
            <a:ext uri="{FF2B5EF4-FFF2-40B4-BE49-F238E27FC236}">
              <a16:creationId xmlns:a16="http://schemas.microsoft.com/office/drawing/2014/main" id="{38A0A489-D7E8-4A5D-9605-4C95AAF5B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171450</xdr:colOff>
      <xdr:row>19</xdr:row>
      <xdr:rowOff>28575</xdr:rowOff>
    </xdr:from>
    <xdr:to>
      <xdr:col>12</xdr:col>
      <xdr:colOff>857250</xdr:colOff>
      <xdr:row>26</xdr:row>
      <xdr:rowOff>171450</xdr:rowOff>
    </xdr:to>
    <xdr:graphicFrame macro="">
      <xdr:nvGraphicFramePr>
        <xdr:cNvPr id="5" name="Chart 4">
          <a:extLst>
            <a:ext uri="{FF2B5EF4-FFF2-40B4-BE49-F238E27FC236}">
              <a16:creationId xmlns:a16="http://schemas.microsoft.com/office/drawing/2014/main" id="{17EF303A-D138-4C4C-9ED8-F8D163FBB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676275</xdr:colOff>
      <xdr:row>27</xdr:row>
      <xdr:rowOff>133351</xdr:rowOff>
    </xdr:from>
    <xdr:to>
      <xdr:col>13</xdr:col>
      <xdr:colOff>428625</xdr:colOff>
      <xdr:row>39</xdr:row>
      <xdr:rowOff>142875</xdr:rowOff>
    </xdr:to>
    <xdr:graphicFrame macro="">
      <xdr:nvGraphicFramePr>
        <xdr:cNvPr id="6" name="Chart 5">
          <a:extLst>
            <a:ext uri="{FF2B5EF4-FFF2-40B4-BE49-F238E27FC236}">
              <a16:creationId xmlns:a16="http://schemas.microsoft.com/office/drawing/2014/main" id="{0D22CD2B-F172-441E-B5F6-20746CF9B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136071</xdr:colOff>
      <xdr:row>62</xdr:row>
      <xdr:rowOff>95250</xdr:rowOff>
    </xdr:from>
    <xdr:to>
      <xdr:col>12</xdr:col>
      <xdr:colOff>796017</xdr:colOff>
      <xdr:row>70</xdr:row>
      <xdr:rowOff>95249</xdr:rowOff>
    </xdr:to>
    <xdr:sp macro="" textlink="">
      <xdr:nvSpPr>
        <xdr:cNvPr id="7" name="TextBox 6">
          <a:extLst>
            <a:ext uri="{FF2B5EF4-FFF2-40B4-BE49-F238E27FC236}">
              <a16:creationId xmlns:a16="http://schemas.microsoft.com/office/drawing/2014/main" id="{D6CF5ECE-2E98-32CA-7325-F407F721DB1D}"/>
            </a:ext>
          </a:extLst>
        </xdr:cNvPr>
        <xdr:cNvSpPr txBox="1"/>
      </xdr:nvSpPr>
      <xdr:spPr>
        <a:xfrm>
          <a:off x="136071" y="12994821"/>
          <a:ext cx="10484303" cy="152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IN" sz="1100" b="0" i="0">
              <a:solidFill>
                <a:schemeClr val="dk1"/>
              </a:solidFill>
              <a:effectLst/>
              <a:latin typeface="+mn-lt"/>
              <a:ea typeface="+mn-ea"/>
              <a:cs typeface="+mn-cs"/>
            </a:rPr>
            <a:t>Reliance's luxury business, Reliance Brands Limited, saw a slowdown with only 5% sales growth in FY25 to ₹2,616 crore compared to 12% last year, and it posted a net loss of ₹279 crore, reflecting pressure on profitability despite expanding brand partnerships.</a:t>
          </a:r>
        </a:p>
        <a:p>
          <a:pPr marL="171450" indent="-171450">
            <a:buFont typeface="Arial" panose="020B0604020202020204" pitchFamily="34" charset="0"/>
            <a:buChar char="•"/>
          </a:pPr>
          <a:r>
            <a:rPr lang="en-IN" sz="1100" b="0" i="0">
              <a:solidFill>
                <a:schemeClr val="dk1"/>
              </a:solidFill>
              <a:effectLst/>
              <a:latin typeface="+mn-lt"/>
              <a:ea typeface="+mn-ea"/>
              <a:cs typeface="+mn-cs"/>
            </a:rPr>
            <a:t>The company has set August 14, 2025, as the record date for determining entitlement to the dividend for FY25, with the final dividend of ₹5.50 per equity share to be paid within a week after the Annual General Meeting (AGM) scheduled on August 29, 2025.</a:t>
          </a:r>
        </a:p>
        <a:p>
          <a:pPr marL="171450" indent="-171450">
            <a:buFont typeface="Arial" panose="020B0604020202020204" pitchFamily="34" charset="0"/>
            <a:buChar char="•"/>
          </a:pPr>
          <a:r>
            <a:rPr lang="en-IN" sz="1100" b="0" i="0">
              <a:solidFill>
                <a:schemeClr val="dk1"/>
              </a:solidFill>
              <a:effectLst/>
              <a:latin typeface="+mn-lt"/>
              <a:ea typeface="+mn-ea"/>
              <a:cs typeface="+mn-cs"/>
            </a:rPr>
            <a:t>At the upcoming AGM, key discussions are expected about Reliance's ambitious plan to double its business by 2030, focusing on the growth of JIO and Retail segments in the next 3-4 years, and significant progress in the New Energy (NE) sector with goals to replicate profit levels of its Oil-to-Chemicals (O2C) segment.</a:t>
          </a:r>
        </a:p>
        <a:p>
          <a:pPr marL="171450" indent="-171450">
            <a:buFont typeface="Arial" panose="020B0604020202020204" pitchFamily="34" charset="0"/>
            <a:buChar char="•"/>
          </a:pPr>
          <a:r>
            <a:rPr lang="en-IN" sz="1100" b="0" i="0">
              <a:solidFill>
                <a:schemeClr val="dk1"/>
              </a:solidFill>
              <a:effectLst/>
              <a:latin typeface="+mn-lt"/>
              <a:ea typeface="+mn-ea"/>
              <a:cs typeface="+mn-cs"/>
            </a:rPr>
            <a:t>The New Energy segment plans include operationalizing a fully integrated platform involving polysilicon-to-modules production, electrolyser, and battery manufacturing within the next four to six quarters, targeting self-funding status and profitability rise driven by green power use and technology improvements.</a:t>
          </a:r>
        </a:p>
        <a:p>
          <a:endParaRPr lang="en-IN" sz="1100"/>
        </a:p>
      </xdr:txBody>
    </xdr:sp>
    <xdr:clientData/>
  </xdr:twoCellAnchor>
  <xdr:twoCellAnchor>
    <xdr:from>
      <xdr:col>1</xdr:col>
      <xdr:colOff>1292678</xdr:colOff>
      <xdr:row>72</xdr:row>
      <xdr:rowOff>40822</xdr:rowOff>
    </xdr:from>
    <xdr:to>
      <xdr:col>11</xdr:col>
      <xdr:colOff>120196</xdr:colOff>
      <xdr:row>74</xdr:row>
      <xdr:rowOff>0</xdr:rowOff>
    </xdr:to>
    <xdr:sp macro="" textlink="">
      <xdr:nvSpPr>
        <xdr:cNvPr id="9" name="TextBox 8">
          <a:extLst>
            <a:ext uri="{FF2B5EF4-FFF2-40B4-BE49-F238E27FC236}">
              <a16:creationId xmlns:a16="http://schemas.microsoft.com/office/drawing/2014/main" id="{AED811CA-E44B-4F38-9583-55029A3C0F74}"/>
            </a:ext>
          </a:extLst>
        </xdr:cNvPr>
        <xdr:cNvSpPr txBox="1"/>
      </xdr:nvSpPr>
      <xdr:spPr>
        <a:xfrm>
          <a:off x="1687285" y="14178643"/>
          <a:ext cx="7617732" cy="585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34</xdr:row>
      <xdr:rowOff>0</xdr:rowOff>
    </xdr:from>
    <xdr:to>
      <xdr:col>16</xdr:col>
      <xdr:colOff>304800</xdr:colOff>
      <xdr:row>35</xdr:row>
      <xdr:rowOff>114300</xdr:rowOff>
    </xdr:to>
    <xdr:sp macro="" textlink="">
      <xdr:nvSpPr>
        <xdr:cNvPr id="9218" name="AutoShape 2" descr="Reliance Industries PNG Images - CleanPNG">
          <a:extLst>
            <a:ext uri="{FF2B5EF4-FFF2-40B4-BE49-F238E27FC236}">
              <a16:creationId xmlns:a16="http://schemas.microsoft.com/office/drawing/2014/main" id="{ECFD744A-A669-BEB2-2F2C-E05BBBFBA09F}"/>
            </a:ext>
          </a:extLst>
        </xdr:cNvPr>
        <xdr:cNvSpPr>
          <a:spLocks noChangeAspect="1" noChangeArrowheads="1"/>
        </xdr:cNvSpPr>
      </xdr:nvSpPr>
      <xdr:spPr bwMode="auto">
        <a:xfrm>
          <a:off x="11382375" y="592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727075</xdr:colOff>
      <xdr:row>0</xdr:row>
      <xdr:rowOff>72446</xdr:rowOff>
    </xdr:from>
    <xdr:to>
      <xdr:col>12</xdr:col>
      <xdr:colOff>111125</xdr:colOff>
      <xdr:row>6</xdr:row>
      <xdr:rowOff>20381</xdr:rowOff>
    </xdr:to>
    <xdr:pic>
      <xdr:nvPicPr>
        <xdr:cNvPr id="4" name="Picture 3" descr="Reliance Industries Limited Logo Logo and symbol, meaning, history, PNG">
          <a:extLst>
            <a:ext uri="{FF2B5EF4-FFF2-40B4-BE49-F238E27FC236}">
              <a16:creationId xmlns:a16="http://schemas.microsoft.com/office/drawing/2014/main" id="{25686444-E451-45F8-CE03-12821741D0EC}"/>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8505825" y="262946"/>
          <a:ext cx="2051050" cy="1106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1793875</xdr:colOff>
      <xdr:row>117</xdr:row>
      <xdr:rowOff>111125</xdr:rowOff>
    </xdr:from>
    <xdr:to>
      <xdr:col>11</xdr:col>
      <xdr:colOff>13607</xdr:colOff>
      <xdr:row>123</xdr:row>
      <xdr:rowOff>45691</xdr:rowOff>
    </xdr:to>
    <xdr:sp macro="" textlink="">
      <xdr:nvSpPr>
        <xdr:cNvPr id="5" name="TextBox 4">
          <a:extLst>
            <a:ext uri="{FF2B5EF4-FFF2-40B4-BE49-F238E27FC236}">
              <a16:creationId xmlns:a16="http://schemas.microsoft.com/office/drawing/2014/main" id="{E3417E45-7B90-4D05-B38B-B34CCEDD3424}"/>
            </a:ext>
          </a:extLst>
        </xdr:cNvPr>
        <xdr:cNvSpPr txBox="1"/>
      </xdr:nvSpPr>
      <xdr:spPr>
        <a:xfrm>
          <a:off x="1952625" y="21542375"/>
          <a:ext cx="7617732" cy="107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444500</xdr:colOff>
      <xdr:row>0</xdr:row>
      <xdr:rowOff>98425</xdr:rowOff>
    </xdr:from>
    <xdr:to>
      <xdr:col>16</xdr:col>
      <xdr:colOff>635000</xdr:colOff>
      <xdr:row>6</xdr:row>
      <xdr:rowOff>75827</xdr:rowOff>
    </xdr:to>
    <xdr:pic>
      <xdr:nvPicPr>
        <xdr:cNvPr id="2" name="Picture 1" descr="Reliance Industries Limited Logo Logo and symbol, meaning, history, PNG">
          <a:extLst>
            <a:ext uri="{FF2B5EF4-FFF2-40B4-BE49-F238E27FC236}">
              <a16:creationId xmlns:a16="http://schemas.microsoft.com/office/drawing/2014/main" id="{438CACE9-1DAF-49CE-A3F1-292FCA429716}"/>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8540750" y="98425"/>
          <a:ext cx="1952625" cy="1120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1285875</xdr:colOff>
      <xdr:row>50</xdr:row>
      <xdr:rowOff>63500</xdr:rowOff>
    </xdr:from>
    <xdr:to>
      <xdr:col>14</xdr:col>
      <xdr:colOff>362857</xdr:colOff>
      <xdr:row>55</xdr:row>
      <xdr:rowOff>188566</xdr:rowOff>
    </xdr:to>
    <xdr:sp macro="" textlink="">
      <xdr:nvSpPr>
        <xdr:cNvPr id="3" name="TextBox 2">
          <a:extLst>
            <a:ext uri="{FF2B5EF4-FFF2-40B4-BE49-F238E27FC236}">
              <a16:creationId xmlns:a16="http://schemas.microsoft.com/office/drawing/2014/main" id="{B3A7C2B1-E4EB-49C5-A267-6AD1F7157019}"/>
            </a:ext>
          </a:extLst>
        </xdr:cNvPr>
        <xdr:cNvSpPr txBox="1"/>
      </xdr:nvSpPr>
      <xdr:spPr>
        <a:xfrm>
          <a:off x="1444625" y="9350375"/>
          <a:ext cx="7617732" cy="107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592513</xdr:colOff>
      <xdr:row>0</xdr:row>
      <xdr:rowOff>38100</xdr:rowOff>
    </xdr:from>
    <xdr:to>
      <xdr:col>12</xdr:col>
      <xdr:colOff>95250</xdr:colOff>
      <xdr:row>5</xdr:row>
      <xdr:rowOff>195006</xdr:rowOff>
    </xdr:to>
    <xdr:pic>
      <xdr:nvPicPr>
        <xdr:cNvPr id="3" name="Picture 2" descr="Reliance Industries Limited Logo Logo and symbol, meaning, history, PNG">
          <a:extLst>
            <a:ext uri="{FF2B5EF4-FFF2-40B4-BE49-F238E27FC236}">
              <a16:creationId xmlns:a16="http://schemas.microsoft.com/office/drawing/2014/main" id="{567AE35B-45FB-49A5-9067-C3B16BE9DC1D}"/>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5326438" y="38100"/>
          <a:ext cx="1979237" cy="1109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19050</xdr:colOff>
      <xdr:row>45</xdr:row>
      <xdr:rowOff>28575</xdr:rowOff>
    </xdr:from>
    <xdr:to>
      <xdr:col>12</xdr:col>
      <xdr:colOff>578757</xdr:colOff>
      <xdr:row>50</xdr:row>
      <xdr:rowOff>153641</xdr:rowOff>
    </xdr:to>
    <xdr:sp macro="" textlink="">
      <xdr:nvSpPr>
        <xdr:cNvPr id="2" name="TextBox 1">
          <a:extLst>
            <a:ext uri="{FF2B5EF4-FFF2-40B4-BE49-F238E27FC236}">
              <a16:creationId xmlns:a16="http://schemas.microsoft.com/office/drawing/2014/main" id="{C4431578-816C-4A47-8ABA-74C7483034E1}"/>
            </a:ext>
          </a:extLst>
        </xdr:cNvPr>
        <xdr:cNvSpPr txBox="1"/>
      </xdr:nvSpPr>
      <xdr:spPr>
        <a:xfrm>
          <a:off x="171450" y="8686800"/>
          <a:ext cx="7617732" cy="107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149680</xdr:colOff>
      <xdr:row>0</xdr:row>
      <xdr:rowOff>139160</xdr:rowOff>
    </xdr:from>
    <xdr:to>
      <xdr:col>10</xdr:col>
      <xdr:colOff>114302</xdr:colOff>
      <xdr:row>6</xdr:row>
      <xdr:rowOff>4507</xdr:rowOff>
    </xdr:to>
    <xdr:pic>
      <xdr:nvPicPr>
        <xdr:cNvPr id="2" name="Picture 1" descr="Reliance Industries Limited Logo Logo and symbol, meaning, history, PNG">
          <a:extLst>
            <a:ext uri="{FF2B5EF4-FFF2-40B4-BE49-F238E27FC236}">
              <a16:creationId xmlns:a16="http://schemas.microsoft.com/office/drawing/2014/main" id="{DEECA775-D99A-44E2-B144-528A3DDE2BDB}"/>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5715001" y="139160"/>
          <a:ext cx="1801586" cy="10219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47625</xdr:colOff>
      <xdr:row>7</xdr:row>
      <xdr:rowOff>180975</xdr:rowOff>
    </xdr:from>
    <xdr:to>
      <xdr:col>10</xdr:col>
      <xdr:colOff>457200</xdr:colOff>
      <xdr:row>24</xdr:row>
      <xdr:rowOff>4762</xdr:rowOff>
    </xdr:to>
    <xdr:graphicFrame macro="">
      <xdr:nvGraphicFramePr>
        <xdr:cNvPr id="3" name="Chart 2">
          <a:extLst>
            <a:ext uri="{FF2B5EF4-FFF2-40B4-BE49-F238E27FC236}">
              <a16:creationId xmlns:a16="http://schemas.microsoft.com/office/drawing/2014/main" id="{B3219705-016A-8AF3-ED92-445921D0E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xdr:colOff>
      <xdr:row>26</xdr:row>
      <xdr:rowOff>180975</xdr:rowOff>
    </xdr:from>
    <xdr:to>
      <xdr:col>10</xdr:col>
      <xdr:colOff>466725</xdr:colOff>
      <xdr:row>43</xdr:row>
      <xdr:rowOff>9525</xdr:rowOff>
    </xdr:to>
    <xdr:graphicFrame macro="">
      <xdr:nvGraphicFramePr>
        <xdr:cNvPr id="4" name="Chart 3">
          <a:extLst>
            <a:ext uri="{FF2B5EF4-FFF2-40B4-BE49-F238E27FC236}">
              <a16:creationId xmlns:a16="http://schemas.microsoft.com/office/drawing/2014/main" id="{5797DCB0-9421-4C25-843B-E3B2BBB4C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38100</xdr:colOff>
      <xdr:row>45</xdr:row>
      <xdr:rowOff>180975</xdr:rowOff>
    </xdr:from>
    <xdr:to>
      <xdr:col>10</xdr:col>
      <xdr:colOff>476250</xdr:colOff>
      <xdr:row>62</xdr:row>
      <xdr:rowOff>0</xdr:rowOff>
    </xdr:to>
    <xdr:graphicFrame macro="">
      <xdr:nvGraphicFramePr>
        <xdr:cNvPr id="5" name="Chart 4">
          <a:extLst>
            <a:ext uri="{FF2B5EF4-FFF2-40B4-BE49-F238E27FC236}">
              <a16:creationId xmlns:a16="http://schemas.microsoft.com/office/drawing/2014/main" id="{F0ED5A70-2DF0-4582-8EB9-2F440A9ED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151039</xdr:colOff>
      <xdr:row>67</xdr:row>
      <xdr:rowOff>4082</xdr:rowOff>
    </xdr:from>
    <xdr:to>
      <xdr:col>10</xdr:col>
      <xdr:colOff>516164</xdr:colOff>
      <xdr:row>72</xdr:row>
      <xdr:rowOff>129148</xdr:rowOff>
    </xdr:to>
    <xdr:sp macro="" textlink="">
      <xdr:nvSpPr>
        <xdr:cNvPr id="6" name="TextBox 5">
          <a:extLst>
            <a:ext uri="{FF2B5EF4-FFF2-40B4-BE49-F238E27FC236}">
              <a16:creationId xmlns:a16="http://schemas.microsoft.com/office/drawing/2014/main" id="{37D6616B-666A-4AD8-9CC9-4158F0DA3EAC}"/>
            </a:ext>
          </a:extLst>
        </xdr:cNvPr>
        <xdr:cNvSpPr txBox="1"/>
      </xdr:nvSpPr>
      <xdr:spPr>
        <a:xfrm>
          <a:off x="300718" y="12400189"/>
          <a:ext cx="7617732" cy="107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6349</xdr:colOff>
      <xdr:row>0</xdr:row>
      <xdr:rowOff>60657</xdr:rowOff>
    </xdr:from>
    <xdr:to>
      <xdr:col>11</xdr:col>
      <xdr:colOff>254000</xdr:colOff>
      <xdr:row>6</xdr:row>
      <xdr:rowOff>14031</xdr:rowOff>
    </xdr:to>
    <xdr:pic>
      <xdr:nvPicPr>
        <xdr:cNvPr id="2" name="Picture 1" descr="Reliance Industries Limited Logo Logo and symbol, meaning, history, PNG">
          <a:extLst>
            <a:ext uri="{FF2B5EF4-FFF2-40B4-BE49-F238E27FC236}">
              <a16:creationId xmlns:a16="http://schemas.microsoft.com/office/drawing/2014/main" id="{7ECD35A5-4E44-4453-A73D-B0A4B82BEC38}"/>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5911849" y="60657"/>
          <a:ext cx="2009776" cy="1112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206375</xdr:colOff>
      <xdr:row>68</xdr:row>
      <xdr:rowOff>142875</xdr:rowOff>
    </xdr:from>
    <xdr:to>
      <xdr:col>9</xdr:col>
      <xdr:colOff>539750</xdr:colOff>
      <xdr:row>72</xdr:row>
      <xdr:rowOff>77441</xdr:rowOff>
    </xdr:to>
    <xdr:sp macro="" textlink="">
      <xdr:nvSpPr>
        <xdr:cNvPr id="3" name="TextBox 2">
          <a:extLst>
            <a:ext uri="{FF2B5EF4-FFF2-40B4-BE49-F238E27FC236}">
              <a16:creationId xmlns:a16="http://schemas.microsoft.com/office/drawing/2014/main" id="{584DF137-B0EE-4BE4-A6CE-44FF0DA6C60E}"/>
            </a:ext>
          </a:extLst>
        </xdr:cNvPr>
        <xdr:cNvSpPr txBox="1"/>
      </xdr:nvSpPr>
      <xdr:spPr>
        <a:xfrm>
          <a:off x="206375" y="13144500"/>
          <a:ext cx="7604125" cy="696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44450</xdr:colOff>
      <xdr:row>0</xdr:row>
      <xdr:rowOff>79375</xdr:rowOff>
    </xdr:from>
    <xdr:to>
      <xdr:col>10</xdr:col>
      <xdr:colOff>1340964</xdr:colOff>
      <xdr:row>5</xdr:row>
      <xdr:rowOff>162940</xdr:rowOff>
    </xdr:to>
    <xdr:pic>
      <xdr:nvPicPr>
        <xdr:cNvPr id="2" name="Picture 1" descr="Reliance Industries Limited Logo Logo and symbol, meaning, history, PNG">
          <a:extLst>
            <a:ext uri="{FF2B5EF4-FFF2-40B4-BE49-F238E27FC236}">
              <a16:creationId xmlns:a16="http://schemas.microsoft.com/office/drawing/2014/main" id="{CC071666-8A47-4731-90DA-60BE23115352}"/>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6584950" y="79375"/>
          <a:ext cx="2312514" cy="1353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142875</xdr:colOff>
      <xdr:row>53</xdr:row>
      <xdr:rowOff>111125</xdr:rowOff>
    </xdr:from>
    <xdr:to>
      <xdr:col>11</xdr:col>
      <xdr:colOff>0</xdr:colOff>
      <xdr:row>57</xdr:row>
      <xdr:rowOff>45691</xdr:rowOff>
    </xdr:to>
    <xdr:sp macro="" textlink="">
      <xdr:nvSpPr>
        <xdr:cNvPr id="3" name="TextBox 2">
          <a:extLst>
            <a:ext uri="{FF2B5EF4-FFF2-40B4-BE49-F238E27FC236}">
              <a16:creationId xmlns:a16="http://schemas.microsoft.com/office/drawing/2014/main" id="{6D0030ED-C522-4ABE-AE74-38D21A011345}"/>
            </a:ext>
          </a:extLst>
        </xdr:cNvPr>
        <xdr:cNvSpPr txBox="1"/>
      </xdr:nvSpPr>
      <xdr:spPr>
        <a:xfrm>
          <a:off x="142875" y="10096500"/>
          <a:ext cx="8858250"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317500</xdr:colOff>
      <xdr:row>0</xdr:row>
      <xdr:rowOff>47624</xdr:rowOff>
    </xdr:from>
    <xdr:to>
      <xdr:col>10</xdr:col>
      <xdr:colOff>619125</xdr:colOff>
      <xdr:row>5</xdr:row>
      <xdr:rowOff>174625</xdr:rowOff>
    </xdr:to>
    <xdr:pic>
      <xdr:nvPicPr>
        <xdr:cNvPr id="2" name="Picture 1" descr="Reliance Industries Limited Logo Logo and symbol, meaning, history, PNG">
          <a:extLst>
            <a:ext uri="{FF2B5EF4-FFF2-40B4-BE49-F238E27FC236}">
              <a16:creationId xmlns:a16="http://schemas.microsoft.com/office/drawing/2014/main" id="{708D1C22-5E17-4EBD-82FF-0954BB62ADE4}"/>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7207250" y="47624"/>
          <a:ext cx="2143125" cy="1238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72</xdr:row>
      <xdr:rowOff>66675</xdr:rowOff>
    </xdr:from>
    <xdr:to>
      <xdr:col>10</xdr:col>
      <xdr:colOff>857250</xdr:colOff>
      <xdr:row>75</xdr:row>
      <xdr:rowOff>1241</xdr:rowOff>
    </xdr:to>
    <xdr:sp macro="" textlink="">
      <xdr:nvSpPr>
        <xdr:cNvPr id="3" name="TextBox 2">
          <a:extLst>
            <a:ext uri="{FF2B5EF4-FFF2-40B4-BE49-F238E27FC236}">
              <a16:creationId xmlns:a16="http://schemas.microsoft.com/office/drawing/2014/main" id="{F817E78C-2AAA-4C7A-90EC-A1D41395BC10}"/>
            </a:ext>
          </a:extLst>
        </xdr:cNvPr>
        <xdr:cNvSpPr txBox="1"/>
      </xdr:nvSpPr>
      <xdr:spPr>
        <a:xfrm>
          <a:off x="0" y="13401675"/>
          <a:ext cx="9588500"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301625</xdr:colOff>
      <xdr:row>0</xdr:row>
      <xdr:rowOff>60219</xdr:rowOff>
    </xdr:from>
    <xdr:to>
      <xdr:col>10</xdr:col>
      <xdr:colOff>555625</xdr:colOff>
      <xdr:row>5</xdr:row>
      <xdr:rowOff>133350</xdr:rowOff>
    </xdr:to>
    <xdr:pic>
      <xdr:nvPicPr>
        <xdr:cNvPr id="2" name="Picture 1" descr="Reliance Industries Limited Logo Logo and symbol, meaning, history, PNG">
          <a:extLst>
            <a:ext uri="{FF2B5EF4-FFF2-40B4-BE49-F238E27FC236}">
              <a16:creationId xmlns:a16="http://schemas.microsoft.com/office/drawing/2014/main" id="{FAF0191C-7C9D-444E-AC4A-32BFEE4D3B34}"/>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5603875" y="60219"/>
          <a:ext cx="2063750" cy="1184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54429</xdr:colOff>
      <xdr:row>51</xdr:row>
      <xdr:rowOff>81643</xdr:rowOff>
    </xdr:from>
    <xdr:to>
      <xdr:col>10</xdr:col>
      <xdr:colOff>749301</xdr:colOff>
      <xdr:row>54</xdr:row>
      <xdr:rowOff>16209</xdr:rowOff>
    </xdr:to>
    <xdr:sp macro="" textlink="">
      <xdr:nvSpPr>
        <xdr:cNvPr id="3" name="TextBox 2">
          <a:extLst>
            <a:ext uri="{FF2B5EF4-FFF2-40B4-BE49-F238E27FC236}">
              <a16:creationId xmlns:a16="http://schemas.microsoft.com/office/drawing/2014/main" id="{5A02FB93-9C7B-4EE7-9CA2-739DE4B5C7BF}"/>
            </a:ext>
          </a:extLst>
        </xdr:cNvPr>
        <xdr:cNvSpPr txBox="1"/>
      </xdr:nvSpPr>
      <xdr:spPr>
        <a:xfrm>
          <a:off x="204108" y="9565822"/>
          <a:ext cx="7702550"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342900</xdr:colOff>
      <xdr:row>0</xdr:row>
      <xdr:rowOff>116052</xdr:rowOff>
    </xdr:from>
    <xdr:to>
      <xdr:col>15</xdr:col>
      <xdr:colOff>571500</xdr:colOff>
      <xdr:row>4</xdr:row>
      <xdr:rowOff>196108</xdr:rowOff>
    </xdr:to>
    <xdr:pic>
      <xdr:nvPicPr>
        <xdr:cNvPr id="2" name="Picture 1" descr="Reliance Industries Limited Logo Logo and symbol, meaning, history, PNG">
          <a:extLst>
            <a:ext uri="{FF2B5EF4-FFF2-40B4-BE49-F238E27FC236}">
              <a16:creationId xmlns:a16="http://schemas.microsoft.com/office/drawing/2014/main" id="{5B7264EE-5366-4CCD-A2C5-E23A8CC58924}"/>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8645525" y="116052"/>
          <a:ext cx="1943100" cy="10801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1663700</xdr:colOff>
      <xdr:row>40</xdr:row>
      <xdr:rowOff>155575</xdr:rowOff>
    </xdr:from>
    <xdr:to>
      <xdr:col>14</xdr:col>
      <xdr:colOff>333375</xdr:colOff>
      <xdr:row>43</xdr:row>
      <xdr:rowOff>90141</xdr:rowOff>
    </xdr:to>
    <xdr:sp macro="" textlink="">
      <xdr:nvSpPr>
        <xdr:cNvPr id="3" name="TextBox 2">
          <a:extLst>
            <a:ext uri="{FF2B5EF4-FFF2-40B4-BE49-F238E27FC236}">
              <a16:creationId xmlns:a16="http://schemas.microsoft.com/office/drawing/2014/main" id="{FCD41AC8-C4B6-4B10-888F-361C23CCC889}"/>
            </a:ext>
          </a:extLst>
        </xdr:cNvPr>
        <xdr:cNvSpPr txBox="1"/>
      </xdr:nvSpPr>
      <xdr:spPr>
        <a:xfrm>
          <a:off x="1822450" y="9061450"/>
          <a:ext cx="7702550"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15875</xdr:colOff>
      <xdr:row>0</xdr:row>
      <xdr:rowOff>158750</xdr:rowOff>
    </xdr:from>
    <xdr:to>
      <xdr:col>14</xdr:col>
      <xdr:colOff>603250</xdr:colOff>
      <xdr:row>5</xdr:row>
      <xdr:rowOff>79375</xdr:rowOff>
    </xdr:to>
    <xdr:pic>
      <xdr:nvPicPr>
        <xdr:cNvPr id="2" name="Picture 1" descr="Reliance Industries Limited Logo Logo and symbol, meaning, history, PNG">
          <a:extLst>
            <a:ext uri="{FF2B5EF4-FFF2-40B4-BE49-F238E27FC236}">
              <a16:creationId xmlns:a16="http://schemas.microsoft.com/office/drawing/2014/main" id="{F1D59F98-C61E-4B0A-84E8-308C1DC4D7CE}"/>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6810375" y="158750"/>
          <a:ext cx="1762125" cy="1063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114300</xdr:colOff>
      <xdr:row>8</xdr:row>
      <xdr:rowOff>136525</xdr:rowOff>
    </xdr:from>
    <xdr:to>
      <xdr:col>9</xdr:col>
      <xdr:colOff>254000</xdr:colOff>
      <xdr:row>27</xdr:row>
      <xdr:rowOff>95250</xdr:rowOff>
    </xdr:to>
    <xdr:graphicFrame macro="">
      <xdr:nvGraphicFramePr>
        <xdr:cNvPr id="3" name="Chart 2">
          <a:extLst>
            <a:ext uri="{FF2B5EF4-FFF2-40B4-BE49-F238E27FC236}">
              <a16:creationId xmlns:a16="http://schemas.microsoft.com/office/drawing/2014/main" id="{3D6BA6AB-8DB7-550A-383F-5E025F2F1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130175</xdr:colOff>
      <xdr:row>20</xdr:row>
      <xdr:rowOff>79375</xdr:rowOff>
    </xdr:from>
    <xdr:to>
      <xdr:col>8</xdr:col>
      <xdr:colOff>425450</xdr:colOff>
      <xdr:row>20</xdr:row>
      <xdr:rowOff>79375</xdr:rowOff>
    </xdr:to>
    <xdr:cxnSp macro="">
      <xdr:nvCxnSpPr>
        <xdr:cNvPr id="5" name="Straight Connector 4">
          <a:extLst>
            <a:ext uri="{FF2B5EF4-FFF2-40B4-BE49-F238E27FC236}">
              <a16:creationId xmlns:a16="http://schemas.microsoft.com/office/drawing/2014/main" id="{D78AE25B-C3D3-21E7-213D-289C7D187CBB}"/>
            </a:ext>
          </a:extLst>
        </xdr:cNvPr>
        <xdr:cNvCxnSpPr/>
      </xdr:nvCxnSpPr>
      <xdr:spPr>
        <a:xfrm>
          <a:off x="892175" y="4127500"/>
          <a:ext cx="3914775" cy="0"/>
        </a:xfrm>
        <a:prstGeom prst="line">
          <a:avLst/>
        </a:prstGeom>
        <a:ln w="15875">
          <a:solidFill>
            <a:schemeClr val="accent3">
              <a:lumMod val="60000"/>
              <a:lumOff val="4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301625</xdr:colOff>
      <xdr:row>39</xdr:row>
      <xdr:rowOff>136525</xdr:rowOff>
    </xdr:from>
    <xdr:to>
      <xdr:col>15</xdr:col>
      <xdr:colOff>149225</xdr:colOff>
      <xdr:row>42</xdr:row>
      <xdr:rowOff>71091</xdr:rowOff>
    </xdr:to>
    <xdr:sp macro="" textlink="">
      <xdr:nvSpPr>
        <xdr:cNvPr id="4" name="TextBox 3">
          <a:extLst>
            <a:ext uri="{FF2B5EF4-FFF2-40B4-BE49-F238E27FC236}">
              <a16:creationId xmlns:a16="http://schemas.microsoft.com/office/drawing/2014/main" id="{A8164A32-8AD4-479D-BE2B-292320C61325}"/>
            </a:ext>
          </a:extLst>
        </xdr:cNvPr>
        <xdr:cNvSpPr txBox="1"/>
      </xdr:nvSpPr>
      <xdr:spPr>
        <a:xfrm>
          <a:off x="1063625" y="6597650"/>
          <a:ext cx="7737475"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295801</xdr:colOff>
      <xdr:row>0</xdr:row>
      <xdr:rowOff>131930</xdr:rowOff>
    </xdr:from>
    <xdr:to>
      <xdr:col>11</xdr:col>
      <xdr:colOff>777172</xdr:colOff>
      <xdr:row>6</xdr:row>
      <xdr:rowOff>18350</xdr:rowOff>
    </xdr:to>
    <xdr:pic>
      <xdr:nvPicPr>
        <xdr:cNvPr id="2" name="Picture 1" descr="Reliance Industries Limited Logo Logo and symbol, meaning, history, PNG">
          <a:extLst>
            <a:ext uri="{FF2B5EF4-FFF2-40B4-BE49-F238E27FC236}">
              <a16:creationId xmlns:a16="http://schemas.microsoft.com/office/drawing/2014/main" id="{6A8F49A6-0919-47F4-A723-D5BD8D51D1A0}"/>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7092454" y="131930"/>
          <a:ext cx="2144210" cy="1210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29764</xdr:colOff>
      <xdr:row>31</xdr:row>
      <xdr:rowOff>149635</xdr:rowOff>
    </xdr:from>
    <xdr:to>
      <xdr:col>13</xdr:col>
      <xdr:colOff>20138</xdr:colOff>
      <xdr:row>51</xdr:row>
      <xdr:rowOff>170123</xdr:rowOff>
    </xdr:to>
    <xdr:graphicFrame macro="">
      <xdr:nvGraphicFramePr>
        <xdr:cNvPr id="7" name="Chart 6">
          <a:extLst>
            <a:ext uri="{FF2B5EF4-FFF2-40B4-BE49-F238E27FC236}">
              <a16:creationId xmlns:a16="http://schemas.microsoft.com/office/drawing/2014/main" id="{706526E9-DD8B-4455-BB9D-01365160B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403599</xdr:colOff>
      <xdr:row>73</xdr:row>
      <xdr:rowOff>113009</xdr:rowOff>
    </xdr:from>
    <xdr:to>
      <xdr:col>10</xdr:col>
      <xdr:colOff>810591</xdr:colOff>
      <xdr:row>76</xdr:row>
      <xdr:rowOff>37888</xdr:rowOff>
    </xdr:to>
    <xdr:sp macro="" textlink="">
      <xdr:nvSpPr>
        <xdr:cNvPr id="3" name="TextBox 2">
          <a:extLst>
            <a:ext uri="{FF2B5EF4-FFF2-40B4-BE49-F238E27FC236}">
              <a16:creationId xmlns:a16="http://schemas.microsoft.com/office/drawing/2014/main" id="{041BD841-4DD1-4207-A325-8AB9D45534D2}"/>
            </a:ext>
          </a:extLst>
        </xdr:cNvPr>
        <xdr:cNvSpPr txBox="1"/>
      </xdr:nvSpPr>
      <xdr:spPr>
        <a:xfrm>
          <a:off x="548896" y="14416653"/>
          <a:ext cx="7800975"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7</xdr:col>
      <xdr:colOff>9526</xdr:colOff>
      <xdr:row>0</xdr:row>
      <xdr:rowOff>85725</xdr:rowOff>
    </xdr:from>
    <xdr:to>
      <xdr:col>9</xdr:col>
      <xdr:colOff>212036</xdr:colOff>
      <xdr:row>5</xdr:row>
      <xdr:rowOff>191306</xdr:rowOff>
    </xdr:to>
    <xdr:pic>
      <xdr:nvPicPr>
        <xdr:cNvPr id="2" name="Picture 1" descr="Reliance Industries Limited Logo Logo and symbol, meaning, history, PNG">
          <a:extLst>
            <a:ext uri="{FF2B5EF4-FFF2-40B4-BE49-F238E27FC236}">
              <a16:creationId xmlns:a16="http://schemas.microsoft.com/office/drawing/2014/main" id="{1FF574BA-5B7D-40FE-9A48-498D27D92079}"/>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5667376" y="85725"/>
          <a:ext cx="1707460" cy="1067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266700</xdr:colOff>
      <xdr:row>38</xdr:row>
      <xdr:rowOff>148396</xdr:rowOff>
    </xdr:from>
    <xdr:to>
      <xdr:col>10</xdr:col>
      <xdr:colOff>260138</xdr:colOff>
      <xdr:row>51</xdr:row>
      <xdr:rowOff>152401</xdr:rowOff>
    </xdr:to>
    <xdr:sp macro="" textlink="">
      <xdr:nvSpPr>
        <xdr:cNvPr id="17" name="TextBox 16">
          <a:extLst>
            <a:ext uri="{FF2B5EF4-FFF2-40B4-BE49-F238E27FC236}">
              <a16:creationId xmlns:a16="http://schemas.microsoft.com/office/drawing/2014/main" id="{7EEBC1D9-FA2D-48EB-81AA-0DC863873F59}"/>
            </a:ext>
          </a:extLst>
        </xdr:cNvPr>
        <xdr:cNvSpPr txBox="1"/>
      </xdr:nvSpPr>
      <xdr:spPr>
        <a:xfrm>
          <a:off x="266700" y="8568496"/>
          <a:ext cx="8099213" cy="262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600" b="1" i="0">
              <a:solidFill>
                <a:schemeClr val="tx1"/>
              </a:solidFill>
              <a:effectLst/>
              <a:latin typeface="+mn-lt"/>
              <a:ea typeface="+mn-ea"/>
              <a:cs typeface="+mn-cs"/>
            </a:rPr>
            <a:t>Recent Updates</a:t>
          </a:r>
        </a:p>
        <a:p>
          <a:pPr marL="171450" indent="-171450">
            <a:buFont typeface="Arial" panose="020B0604020202020204" pitchFamily="34" charset="0"/>
            <a:buChar char="•"/>
          </a:pPr>
          <a:r>
            <a:rPr lang="en-IN" sz="1100" b="0" i="0">
              <a:solidFill>
                <a:schemeClr val="dk1"/>
              </a:solidFill>
              <a:effectLst/>
              <a:latin typeface="+mn-lt"/>
              <a:ea typeface="+mn-ea"/>
              <a:cs typeface="+mn-cs"/>
            </a:rPr>
            <a:t>Reliance’s consolidated gross revenue increased 6% YoY to ₹2,73,252 crore.</a:t>
          </a:r>
        </a:p>
        <a:p>
          <a:pPr marL="171450" indent="-171450">
            <a:buFont typeface="Arial" panose="020B0604020202020204" pitchFamily="34" charset="0"/>
            <a:buChar char="•"/>
          </a:pPr>
          <a:r>
            <a:rPr lang="en-IN" sz="1100" b="0" i="0">
              <a:solidFill>
                <a:schemeClr val="dk1"/>
              </a:solidFill>
              <a:effectLst/>
              <a:latin typeface="+mn-lt"/>
              <a:ea typeface="+mn-ea"/>
              <a:cs typeface="+mn-cs"/>
            </a:rPr>
            <a:t>EBITDA rose strongly driven by consumer businesses (Jio and Retail) and a one-time gain of ₹8,924 crore from the Asian Paints stake sale.</a:t>
          </a:r>
        </a:p>
        <a:p>
          <a:pPr marL="171450" indent="-171450">
            <a:buFont typeface="Arial" panose="020B0604020202020204" pitchFamily="34" charset="0"/>
            <a:buChar char="•"/>
          </a:pPr>
          <a:r>
            <a:rPr lang="en-IN" sz="1100" b="0" i="0">
              <a:solidFill>
                <a:schemeClr val="dk1"/>
              </a:solidFill>
              <a:effectLst/>
              <a:latin typeface="+mn-lt"/>
              <a:ea typeface="+mn-ea"/>
              <a:cs typeface="+mn-cs"/>
            </a:rPr>
            <a:t>The company’s earnings per share (EPS) increased to ₹19.90 vs ₹13.23 in the previous year.</a:t>
          </a:r>
        </a:p>
        <a:p>
          <a:pPr marL="171450" indent="-171450">
            <a:buFont typeface="Arial" panose="020B0604020202020204" pitchFamily="34" charset="0"/>
            <a:buChar char="•"/>
          </a:pPr>
          <a:r>
            <a:rPr lang="en-IN" sz="1100" b="0" i="0">
              <a:solidFill>
                <a:schemeClr val="dk1"/>
              </a:solidFill>
              <a:effectLst/>
              <a:latin typeface="+mn-lt"/>
              <a:ea typeface="+mn-ea"/>
              <a:cs typeface="+mn-cs"/>
            </a:rPr>
            <a:t>Jio Platforms’ EBITDA up 23.9% YoY led by ARPU growth and margin expansion.</a:t>
          </a:r>
        </a:p>
        <a:p>
          <a:pPr marL="171450" indent="-171450">
            <a:buFont typeface="Arial" panose="020B0604020202020204" pitchFamily="34" charset="0"/>
            <a:buChar char="•"/>
          </a:pPr>
          <a:r>
            <a:rPr lang="en-IN" sz="1100" b="0" i="0">
              <a:solidFill>
                <a:schemeClr val="dk1"/>
              </a:solidFill>
              <a:effectLst/>
              <a:latin typeface="+mn-lt"/>
              <a:ea typeface="+mn-ea"/>
              <a:cs typeface="+mn-cs"/>
            </a:rPr>
            <a:t>Reliance Retail’s revenue grew 11.3% YoY to ₹84,171 crore; added 388 new stores in the quarter, raising total store count to 19,592.</a:t>
          </a:r>
        </a:p>
        <a:p>
          <a:pPr marL="171450" indent="-171450">
            <a:buFont typeface="Arial" panose="020B0604020202020204" pitchFamily="34" charset="0"/>
            <a:buChar char="•"/>
          </a:pPr>
          <a:r>
            <a:rPr lang="en-IN" sz="1100" b="0" i="0">
              <a:solidFill>
                <a:schemeClr val="dk1"/>
              </a:solidFill>
              <a:effectLst/>
              <a:latin typeface="+mn-lt"/>
              <a:ea typeface="+mn-ea"/>
              <a:cs typeface="+mn-cs"/>
            </a:rPr>
            <a:t>Jio Mart saw daily order growth of 68% QoQ, 175% YoY; Retail business now fastest-growing FMCG company in India with ₹11,450 crore sales.</a:t>
          </a:r>
        </a:p>
        <a:p>
          <a:pPr marL="171450" indent="-171450">
            <a:buFont typeface="Arial" panose="020B0604020202020204" pitchFamily="34" charset="0"/>
            <a:buChar char="•"/>
          </a:pPr>
          <a:r>
            <a:rPr lang="en-IN" sz="1100" b="0" i="0">
              <a:solidFill>
                <a:schemeClr val="dk1"/>
              </a:solidFill>
              <a:effectLst/>
              <a:latin typeface="+mn-lt"/>
              <a:ea typeface="+mn-ea"/>
              <a:cs typeface="+mn-cs"/>
            </a:rPr>
            <a:t>Oil-to-Chemicals (O2C) EBITDA up 10.8% YoY, helped by better margins on transport fuels and petrochemicals, partly offset by lower volumes due to planned shutdowns.</a:t>
          </a:r>
        </a:p>
        <a:p>
          <a:pPr marL="171450" indent="-171450">
            <a:buFont typeface="Arial" panose="020B0604020202020204" pitchFamily="34" charset="0"/>
            <a:buChar char="•"/>
          </a:pPr>
          <a:r>
            <a:rPr lang="en-IN" sz="1100" b="0" i="0">
              <a:solidFill>
                <a:schemeClr val="dk1"/>
              </a:solidFill>
              <a:effectLst/>
              <a:latin typeface="+mn-lt"/>
              <a:ea typeface="+mn-ea"/>
              <a:cs typeface="+mn-cs"/>
            </a:rPr>
            <a:t>Oil &amp; Gas segment EBITDA declined 4.1% YoY due to maintenance-related increase in operating costs.</a:t>
          </a:r>
        </a:p>
        <a:p>
          <a:pPr marL="171450" indent="-171450">
            <a:buFont typeface="Arial" panose="020B0604020202020204" pitchFamily="34" charset="0"/>
            <a:buChar char="•"/>
          </a:pPr>
          <a:r>
            <a:rPr lang="en-IN" sz="1100" b="0" i="0">
              <a:solidFill>
                <a:schemeClr val="dk1"/>
              </a:solidFill>
              <a:effectLst/>
              <a:latin typeface="+mn-lt"/>
              <a:ea typeface="+mn-ea"/>
              <a:cs typeface="+mn-cs"/>
            </a:rPr>
            <a:t>Depreciation expense rose by 1.8% YoY to ₹13,842 crore; finance costs up 18.9% YoY to ₹7,036 crore on account of 5G rollout and spectrum operationalization.</a:t>
          </a:r>
        </a:p>
      </xdr:txBody>
    </xdr:sp>
    <xdr:clientData/>
  </xdr:twoCellAnchor>
  <xdr:twoCellAnchor>
    <xdr:from>
      <xdr:col>0</xdr:col>
      <xdr:colOff>61837</xdr:colOff>
      <xdr:row>55</xdr:row>
      <xdr:rowOff>97820</xdr:rowOff>
    </xdr:from>
    <xdr:to>
      <xdr:col>10</xdr:col>
      <xdr:colOff>60990</xdr:colOff>
      <xdr:row>57</xdr:row>
      <xdr:rowOff>33306</xdr:rowOff>
    </xdr:to>
    <xdr:sp macro="" textlink="">
      <xdr:nvSpPr>
        <xdr:cNvPr id="23" name="TextBox 22">
          <a:extLst>
            <a:ext uri="{FF2B5EF4-FFF2-40B4-BE49-F238E27FC236}">
              <a16:creationId xmlns:a16="http://schemas.microsoft.com/office/drawing/2014/main" id="{7AE27BD2-6953-4788-9775-398A907637D0}"/>
            </a:ext>
          </a:extLst>
        </xdr:cNvPr>
        <xdr:cNvSpPr txBox="1"/>
      </xdr:nvSpPr>
      <xdr:spPr>
        <a:xfrm>
          <a:off x="61837" y="11099195"/>
          <a:ext cx="6828578" cy="316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chemeClr val="tx1"/>
              </a:solidFill>
              <a:effectLst/>
              <a:latin typeface="+mn-lt"/>
              <a:ea typeface="+mn-ea"/>
              <a:cs typeface="+mn-cs"/>
            </a:rPr>
            <a:t>Dupont Analysis - Return on Equity &amp; Return</a:t>
          </a:r>
          <a:r>
            <a:rPr lang="en-IN" sz="1800" b="1" i="0" baseline="0">
              <a:solidFill>
                <a:schemeClr val="tx1"/>
              </a:solidFill>
              <a:effectLst/>
              <a:latin typeface="+mn-lt"/>
              <a:ea typeface="+mn-ea"/>
              <a:cs typeface="+mn-cs"/>
            </a:rPr>
            <a:t> on Asset</a:t>
          </a:r>
          <a:endParaRPr lang="en-IN" sz="1800" b="1" i="0">
            <a:solidFill>
              <a:schemeClr val="tx1"/>
            </a:solidFill>
            <a:effectLst/>
            <a:latin typeface="+mn-lt"/>
            <a:ea typeface="+mn-ea"/>
            <a:cs typeface="+mn-cs"/>
          </a:endParaRPr>
        </a:p>
      </xdr:txBody>
    </xdr:sp>
    <xdr:clientData/>
  </xdr:twoCellAnchor>
  <xdr:twoCellAnchor>
    <xdr:from>
      <xdr:col>0</xdr:col>
      <xdr:colOff>140337</xdr:colOff>
      <xdr:row>96</xdr:row>
      <xdr:rowOff>141634</xdr:rowOff>
    </xdr:from>
    <xdr:to>
      <xdr:col>11</xdr:col>
      <xdr:colOff>425</xdr:colOff>
      <xdr:row>112</xdr:row>
      <xdr:rowOff>123825</xdr:rowOff>
    </xdr:to>
    <xdr:sp macro="" textlink="">
      <xdr:nvSpPr>
        <xdr:cNvPr id="24" name="TextBox 23">
          <a:extLst>
            <a:ext uri="{FF2B5EF4-FFF2-40B4-BE49-F238E27FC236}">
              <a16:creationId xmlns:a16="http://schemas.microsoft.com/office/drawing/2014/main" id="{37895BD8-4F64-4749-8B39-33E61F2B8217}"/>
            </a:ext>
          </a:extLst>
        </xdr:cNvPr>
        <xdr:cNvSpPr txBox="1"/>
      </xdr:nvSpPr>
      <xdr:spPr>
        <a:xfrm>
          <a:off x="140337" y="21029959"/>
          <a:ext cx="7775363" cy="3030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600" b="1" i="0">
              <a:solidFill>
                <a:schemeClr val="tx1"/>
              </a:solidFill>
              <a:effectLst/>
              <a:latin typeface="+mn-lt"/>
              <a:ea typeface="+mn-ea"/>
              <a:cs typeface="+mn-cs"/>
            </a:rPr>
            <a:t>Dupont Summary</a:t>
          </a:r>
        </a:p>
        <a:p>
          <a:pPr marL="171450" indent="-171450">
            <a:buFont typeface="Arial" panose="020B0604020202020204" pitchFamily="34" charset="0"/>
            <a:buChar char="•"/>
          </a:pPr>
          <a:r>
            <a:rPr lang="en-IN" sz="1200" b="0" i="0">
              <a:solidFill>
                <a:schemeClr val="dk1"/>
              </a:solidFill>
              <a:effectLst/>
              <a:latin typeface="+mn-lt"/>
              <a:ea typeface="+mn-ea"/>
              <a:cs typeface="+mn-cs"/>
            </a:rPr>
            <a:t>ROE of Reliance Industries declined sharply during the COVID period, reaching its lowest in FY21. However, the company has rebounded strongly, registering robust profits in FY26 and returning to pre-COVID levels. The latest reported ROE is supported by both margin expansion and increased asset turnover, highlighting a broad-based recovery.</a:t>
          </a:r>
        </a:p>
        <a:p>
          <a:pPr marL="171450" indent="-171450">
            <a:buFont typeface="Arial" panose="020B0604020202020204" pitchFamily="34" charset="0"/>
            <a:buChar char="•"/>
          </a:pPr>
          <a:r>
            <a:rPr lang="en-IN" sz="1200" b="0" i="0">
              <a:solidFill>
                <a:schemeClr val="dk1"/>
              </a:solidFill>
              <a:effectLst/>
              <a:latin typeface="+mn-lt"/>
              <a:ea typeface="+mn-ea"/>
              <a:cs typeface="+mn-cs"/>
            </a:rPr>
            <a:t>Over the past several years, Reliance’s ROE trend reflects a temporary dip followed by a sustained improvement. The company’s net profit margin was pressured in FY21 but has improved recently thanks to expansions in its digital and retail segments. While asset efficiency remains stable, the major driver of ROE improvement has been a strategic reduction in financial leverage, optimizing capital structure and lowering risks.</a:t>
          </a:r>
        </a:p>
        <a:p>
          <a:pPr marL="171450" indent="-171450">
            <a:buFont typeface="Arial" panose="020B0604020202020204" pitchFamily="34" charset="0"/>
            <a:buChar char="•"/>
          </a:pPr>
          <a:r>
            <a:rPr lang="en-IN" sz="1200" b="0" i="0">
              <a:solidFill>
                <a:schemeClr val="dk1"/>
              </a:solidFill>
              <a:effectLst/>
              <a:latin typeface="+mn-lt"/>
              <a:ea typeface="+mn-ea"/>
              <a:cs typeface="+mn-cs"/>
            </a:rPr>
            <a:t>Reliance’s ROA has also witnessed a notable uptrend, mirroring the ROE improvement. This has been primarily enabled by higher profitability from consumer-facing businesses and improved operational efficiency, even as asset turnover has remained consistent. The increase in ROA is tied to better profit generation rather than asset utilization shifts.</a:t>
          </a:r>
        </a:p>
      </xdr:txBody>
    </xdr:sp>
    <xdr:clientData/>
  </xdr:twoCellAnchor>
  <xdr:twoCellAnchor>
    <xdr:from>
      <xdr:col>0</xdr:col>
      <xdr:colOff>0</xdr:colOff>
      <xdr:row>17</xdr:row>
      <xdr:rowOff>27518</xdr:rowOff>
    </xdr:from>
    <xdr:to>
      <xdr:col>2</xdr:col>
      <xdr:colOff>546100</xdr:colOff>
      <xdr:row>27</xdr:row>
      <xdr:rowOff>139700</xdr:rowOff>
    </xdr:to>
    <xdr:graphicFrame macro="">
      <xdr:nvGraphicFramePr>
        <xdr:cNvPr id="3" name="Chart 2">
          <a:extLst>
            <a:ext uri="{FF2B5EF4-FFF2-40B4-BE49-F238E27FC236}">
              <a16:creationId xmlns:a16="http://schemas.microsoft.com/office/drawing/2014/main" id="{05511353-525E-2791-84D1-200CF2B95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622300</xdr:colOff>
      <xdr:row>17</xdr:row>
      <xdr:rowOff>31749</xdr:rowOff>
    </xdr:from>
    <xdr:to>
      <xdr:col>6</xdr:col>
      <xdr:colOff>349250</xdr:colOff>
      <xdr:row>27</xdr:row>
      <xdr:rowOff>126999</xdr:rowOff>
    </xdr:to>
    <xdr:graphicFrame macro="">
      <xdr:nvGraphicFramePr>
        <xdr:cNvPr id="4" name="Chart 3">
          <a:extLst>
            <a:ext uri="{FF2B5EF4-FFF2-40B4-BE49-F238E27FC236}">
              <a16:creationId xmlns:a16="http://schemas.microsoft.com/office/drawing/2014/main" id="{683EEE72-0527-4BD6-9661-C2D7FBEB8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323850</xdr:colOff>
      <xdr:row>17</xdr:row>
      <xdr:rowOff>19050</xdr:rowOff>
    </xdr:from>
    <xdr:to>
      <xdr:col>11</xdr:col>
      <xdr:colOff>133350</xdr:colOff>
      <xdr:row>27</xdr:row>
      <xdr:rowOff>122767</xdr:rowOff>
    </xdr:to>
    <xdr:graphicFrame macro="">
      <xdr:nvGraphicFramePr>
        <xdr:cNvPr id="5" name="Chart 4">
          <a:extLst>
            <a:ext uri="{FF2B5EF4-FFF2-40B4-BE49-F238E27FC236}">
              <a16:creationId xmlns:a16="http://schemas.microsoft.com/office/drawing/2014/main" id="{E7815206-5F14-4387-AAE5-B2C8CCFF5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29</xdr:row>
      <xdr:rowOff>25400</xdr:rowOff>
    </xdr:from>
    <xdr:to>
      <xdr:col>2</xdr:col>
      <xdr:colOff>596900</xdr:colOff>
      <xdr:row>39</xdr:row>
      <xdr:rowOff>103982</xdr:rowOff>
    </xdr:to>
    <xdr:graphicFrame macro="">
      <xdr:nvGraphicFramePr>
        <xdr:cNvPr id="6" name="Chart 5">
          <a:extLst>
            <a:ext uri="{FF2B5EF4-FFF2-40B4-BE49-F238E27FC236}">
              <a16:creationId xmlns:a16="http://schemas.microsoft.com/office/drawing/2014/main" id="{A7232104-CD8D-4DB5-BB77-A7A50AEE7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628650</xdr:colOff>
      <xdr:row>29</xdr:row>
      <xdr:rowOff>12700</xdr:rowOff>
    </xdr:from>
    <xdr:to>
      <xdr:col>6</xdr:col>
      <xdr:colOff>393700</xdr:colOff>
      <xdr:row>39</xdr:row>
      <xdr:rowOff>116682</xdr:rowOff>
    </xdr:to>
    <xdr:graphicFrame macro="">
      <xdr:nvGraphicFramePr>
        <xdr:cNvPr id="7" name="Chart 6">
          <a:extLst>
            <a:ext uri="{FF2B5EF4-FFF2-40B4-BE49-F238E27FC236}">
              <a16:creationId xmlns:a16="http://schemas.microsoft.com/office/drawing/2014/main" id="{931C3385-E6B5-4CCB-BB70-74996419C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438150</xdr:colOff>
      <xdr:row>29</xdr:row>
      <xdr:rowOff>0</xdr:rowOff>
    </xdr:from>
    <xdr:to>
      <xdr:col>11</xdr:col>
      <xdr:colOff>158750</xdr:colOff>
      <xdr:row>39</xdr:row>
      <xdr:rowOff>110332</xdr:rowOff>
    </xdr:to>
    <xdr:graphicFrame macro="">
      <xdr:nvGraphicFramePr>
        <xdr:cNvPr id="8" name="Chart 7">
          <a:extLst>
            <a:ext uri="{FF2B5EF4-FFF2-40B4-BE49-F238E27FC236}">
              <a16:creationId xmlns:a16="http://schemas.microsoft.com/office/drawing/2014/main" id="{E9FAA725-0B71-4A20-AD91-A2B7C250B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104775</xdr:colOff>
      <xdr:row>112</xdr:row>
      <xdr:rowOff>55909</xdr:rowOff>
    </xdr:from>
    <xdr:to>
      <xdr:col>10</xdr:col>
      <xdr:colOff>133350</xdr:colOff>
      <xdr:row>114</xdr:row>
      <xdr:rowOff>180975</xdr:rowOff>
    </xdr:to>
    <xdr:sp macro="" textlink="">
      <xdr:nvSpPr>
        <xdr:cNvPr id="9" name="TextBox 8">
          <a:extLst>
            <a:ext uri="{FF2B5EF4-FFF2-40B4-BE49-F238E27FC236}">
              <a16:creationId xmlns:a16="http://schemas.microsoft.com/office/drawing/2014/main" id="{B8990A7D-8D22-4CEB-9135-FC90B045DB64}"/>
            </a:ext>
          </a:extLst>
        </xdr:cNvPr>
        <xdr:cNvSpPr txBox="1"/>
      </xdr:nvSpPr>
      <xdr:spPr>
        <a:xfrm>
          <a:off x="104775" y="23992234"/>
          <a:ext cx="7800975"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619125</xdr:colOff>
      <xdr:row>0</xdr:row>
      <xdr:rowOff>116899</xdr:rowOff>
    </xdr:from>
    <xdr:to>
      <xdr:col>9</xdr:col>
      <xdr:colOff>333374</xdr:colOff>
      <xdr:row>8</xdr:row>
      <xdr:rowOff>806</xdr:rowOff>
    </xdr:to>
    <xdr:pic>
      <xdr:nvPicPr>
        <xdr:cNvPr id="2" name="Picture 1" descr="Reliance Industries Limited Logo Logo and symbol, meaning, history, PNG">
          <a:extLst>
            <a:ext uri="{FF2B5EF4-FFF2-40B4-BE49-F238E27FC236}">
              <a16:creationId xmlns:a16="http://schemas.microsoft.com/office/drawing/2014/main" id="{AEF59C87-E987-412B-8A5E-724FCB698B27}"/>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7105650" y="116899"/>
          <a:ext cx="2400299" cy="1417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145735</xdr:colOff>
      <xdr:row>41</xdr:row>
      <xdr:rowOff>224595</xdr:rowOff>
    </xdr:from>
    <xdr:to>
      <xdr:col>10</xdr:col>
      <xdr:colOff>139173</xdr:colOff>
      <xdr:row>57</xdr:row>
      <xdr:rowOff>104793</xdr:rowOff>
    </xdr:to>
    <xdr:sp macro="" textlink="">
      <xdr:nvSpPr>
        <xdr:cNvPr id="3" name="TextBox 2">
          <a:extLst>
            <a:ext uri="{FF2B5EF4-FFF2-40B4-BE49-F238E27FC236}">
              <a16:creationId xmlns:a16="http://schemas.microsoft.com/office/drawing/2014/main" id="{A09AE03A-F277-418A-94F7-0F78F479CB95}"/>
            </a:ext>
          </a:extLst>
        </xdr:cNvPr>
        <xdr:cNvSpPr txBox="1"/>
      </xdr:nvSpPr>
      <xdr:spPr>
        <a:xfrm>
          <a:off x="145735" y="8644695"/>
          <a:ext cx="7765838" cy="3928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2000" b="1" i="0">
              <a:solidFill>
                <a:schemeClr val="tx1"/>
              </a:solidFill>
              <a:effectLst/>
              <a:latin typeface="+mn-lt"/>
              <a:ea typeface="+mn-ea"/>
              <a:cs typeface="+mn-cs"/>
            </a:rPr>
            <a:t>Recent Updates</a:t>
          </a:r>
        </a:p>
        <a:p>
          <a:pPr marL="171450" indent="-171450">
            <a:buFont typeface="Arial" panose="020B0604020202020204" pitchFamily="34" charset="0"/>
            <a:buChar char="•"/>
          </a:pPr>
          <a:r>
            <a:rPr lang="en-IN" sz="1400" b="0" i="0">
              <a:solidFill>
                <a:schemeClr val="dk1"/>
              </a:solidFill>
              <a:effectLst/>
              <a:latin typeface="+mn-lt"/>
              <a:ea typeface="+mn-ea"/>
              <a:cs typeface="+mn-cs"/>
            </a:rPr>
            <a:t>Reliance’s consolidated gross revenue increased 6% YoY to ₹2,73,252 crore.</a:t>
          </a:r>
        </a:p>
        <a:p>
          <a:pPr marL="171450" indent="-171450">
            <a:buFont typeface="Arial" panose="020B0604020202020204" pitchFamily="34" charset="0"/>
            <a:buChar char="•"/>
          </a:pPr>
          <a:r>
            <a:rPr lang="en-IN" sz="1400" b="0" i="0">
              <a:solidFill>
                <a:schemeClr val="dk1"/>
              </a:solidFill>
              <a:effectLst/>
              <a:latin typeface="+mn-lt"/>
              <a:ea typeface="+mn-ea"/>
              <a:cs typeface="+mn-cs"/>
            </a:rPr>
            <a:t>EBITDA rose strongly driven by consumer businesses (Jio and Retail) and a one-time gain of ₹8,924 crore from the Asian Paints stake sale.</a:t>
          </a:r>
        </a:p>
        <a:p>
          <a:pPr marL="171450" indent="-171450">
            <a:buFont typeface="Arial" panose="020B0604020202020204" pitchFamily="34" charset="0"/>
            <a:buChar char="•"/>
          </a:pPr>
          <a:r>
            <a:rPr lang="en-IN" sz="1400" b="0" i="0">
              <a:solidFill>
                <a:schemeClr val="dk1"/>
              </a:solidFill>
              <a:effectLst/>
              <a:latin typeface="+mn-lt"/>
              <a:ea typeface="+mn-ea"/>
              <a:cs typeface="+mn-cs"/>
            </a:rPr>
            <a:t>The company’s earnings per share (EPS) increased to ₹19.90 vs ₹13.23 in the previous year.</a:t>
          </a:r>
        </a:p>
        <a:p>
          <a:pPr marL="171450" indent="-171450">
            <a:buFont typeface="Arial" panose="020B0604020202020204" pitchFamily="34" charset="0"/>
            <a:buChar char="•"/>
          </a:pPr>
          <a:r>
            <a:rPr lang="en-IN" sz="1400" b="0" i="0">
              <a:solidFill>
                <a:schemeClr val="dk1"/>
              </a:solidFill>
              <a:effectLst/>
              <a:latin typeface="+mn-lt"/>
              <a:ea typeface="+mn-ea"/>
              <a:cs typeface="+mn-cs"/>
            </a:rPr>
            <a:t>Jio Platforms’ EBITDA up 23.9% YoY led by ARPU growth and margin expansion.</a:t>
          </a:r>
        </a:p>
        <a:p>
          <a:pPr marL="171450" indent="-171450">
            <a:buFont typeface="Arial" panose="020B0604020202020204" pitchFamily="34" charset="0"/>
            <a:buChar char="•"/>
          </a:pPr>
          <a:r>
            <a:rPr lang="en-IN" sz="1400" b="0" i="0">
              <a:solidFill>
                <a:schemeClr val="dk1"/>
              </a:solidFill>
              <a:effectLst/>
              <a:latin typeface="+mn-lt"/>
              <a:ea typeface="+mn-ea"/>
              <a:cs typeface="+mn-cs"/>
            </a:rPr>
            <a:t>Reliance Retail’s revenue grew 11.3% YoY to ₹84,171 crore; added 388 new stores in the quarter, raising total store count to 19,592.</a:t>
          </a:r>
        </a:p>
        <a:p>
          <a:pPr marL="171450" indent="-171450">
            <a:buFont typeface="Arial" panose="020B0604020202020204" pitchFamily="34" charset="0"/>
            <a:buChar char="•"/>
          </a:pPr>
          <a:r>
            <a:rPr lang="en-IN" sz="1400" b="0" i="0">
              <a:solidFill>
                <a:schemeClr val="dk1"/>
              </a:solidFill>
              <a:effectLst/>
              <a:latin typeface="+mn-lt"/>
              <a:ea typeface="+mn-ea"/>
              <a:cs typeface="+mn-cs"/>
            </a:rPr>
            <a:t>Jio Mart saw daily order growth of 68% QoQ, 175% YoY; Retail business now fastest-growing FMCG company in India with ₹11,450 crore sales.</a:t>
          </a:r>
        </a:p>
        <a:p>
          <a:pPr marL="171450" indent="-171450">
            <a:buFont typeface="Arial" panose="020B0604020202020204" pitchFamily="34" charset="0"/>
            <a:buChar char="•"/>
          </a:pPr>
          <a:r>
            <a:rPr lang="en-IN" sz="1400" b="0" i="0">
              <a:solidFill>
                <a:schemeClr val="dk1"/>
              </a:solidFill>
              <a:effectLst/>
              <a:latin typeface="+mn-lt"/>
              <a:ea typeface="+mn-ea"/>
              <a:cs typeface="+mn-cs"/>
            </a:rPr>
            <a:t>Oil-to-Chemicals (O2C) EBITDA up 10.8% YoY, helped by better margins on transport fuels and petrochemicals, partly offset by lower volumes due to planned shutdowns.</a:t>
          </a:r>
        </a:p>
        <a:p>
          <a:pPr marL="171450" indent="-171450">
            <a:buFont typeface="Arial" panose="020B0604020202020204" pitchFamily="34" charset="0"/>
            <a:buChar char="•"/>
          </a:pPr>
          <a:r>
            <a:rPr lang="en-IN" sz="1400" b="0" i="0">
              <a:solidFill>
                <a:schemeClr val="dk1"/>
              </a:solidFill>
              <a:effectLst/>
              <a:latin typeface="+mn-lt"/>
              <a:ea typeface="+mn-ea"/>
              <a:cs typeface="+mn-cs"/>
            </a:rPr>
            <a:t>Oil &amp; Gas segment EBITDA declined 4.1% YoY due to maintenance-related increase in operating costs.</a:t>
          </a:r>
        </a:p>
        <a:p>
          <a:pPr marL="171450" indent="-171450">
            <a:buFont typeface="Arial" panose="020B0604020202020204" pitchFamily="34" charset="0"/>
            <a:buChar char="•"/>
          </a:pPr>
          <a:r>
            <a:rPr lang="en-IN" sz="1400" b="0" i="0">
              <a:solidFill>
                <a:schemeClr val="dk1"/>
              </a:solidFill>
              <a:effectLst/>
              <a:latin typeface="+mn-lt"/>
              <a:ea typeface="+mn-ea"/>
              <a:cs typeface="+mn-cs"/>
            </a:rPr>
            <a:t>Depreciation expense rose by 1.8% YoY to ₹13,842 crore; finance costs up 18.9% YoY to ₹7,036 crore on account of 5G rollout and spectrum operationalization.</a:t>
          </a:r>
        </a:p>
      </xdr:txBody>
    </xdr:sp>
    <xdr:clientData/>
  </xdr:twoCellAnchor>
  <xdr:twoCellAnchor>
    <xdr:from>
      <xdr:col>0</xdr:col>
      <xdr:colOff>61837</xdr:colOff>
      <xdr:row>60</xdr:row>
      <xdr:rowOff>97820</xdr:rowOff>
    </xdr:from>
    <xdr:to>
      <xdr:col>10</xdr:col>
      <xdr:colOff>60990</xdr:colOff>
      <xdr:row>62</xdr:row>
      <xdr:rowOff>33306</xdr:rowOff>
    </xdr:to>
    <xdr:sp macro="" textlink="">
      <xdr:nvSpPr>
        <xdr:cNvPr id="4" name="TextBox 3">
          <a:extLst>
            <a:ext uri="{FF2B5EF4-FFF2-40B4-BE49-F238E27FC236}">
              <a16:creationId xmlns:a16="http://schemas.microsoft.com/office/drawing/2014/main" id="{42F531DF-39FA-4011-B879-324F8FBF12BF}"/>
            </a:ext>
          </a:extLst>
        </xdr:cNvPr>
        <xdr:cNvSpPr txBox="1"/>
      </xdr:nvSpPr>
      <xdr:spPr>
        <a:xfrm>
          <a:off x="61837" y="13137545"/>
          <a:ext cx="7771553" cy="316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chemeClr val="tx1"/>
              </a:solidFill>
              <a:effectLst/>
              <a:latin typeface="+mn-lt"/>
              <a:ea typeface="+mn-ea"/>
              <a:cs typeface="+mn-cs"/>
            </a:rPr>
            <a:t>Altman Z Score Analysis - Return on Equity &amp; Return</a:t>
          </a:r>
          <a:r>
            <a:rPr lang="en-IN" sz="1800" b="1" i="0" baseline="0">
              <a:solidFill>
                <a:schemeClr val="tx1"/>
              </a:solidFill>
              <a:effectLst/>
              <a:latin typeface="+mn-lt"/>
              <a:ea typeface="+mn-ea"/>
              <a:cs typeface="+mn-cs"/>
            </a:rPr>
            <a:t> on Asset</a:t>
          </a:r>
          <a:endParaRPr lang="en-IN" sz="1800" b="1" i="0">
            <a:solidFill>
              <a:schemeClr val="tx1"/>
            </a:solidFill>
            <a:effectLst/>
            <a:latin typeface="+mn-lt"/>
            <a:ea typeface="+mn-ea"/>
            <a:cs typeface="+mn-cs"/>
          </a:endParaRPr>
        </a:p>
      </xdr:txBody>
    </xdr:sp>
    <xdr:clientData/>
  </xdr:twoCellAnchor>
  <xdr:twoCellAnchor>
    <xdr:from>
      <xdr:col>0</xdr:col>
      <xdr:colOff>149862</xdr:colOff>
      <xdr:row>108</xdr:row>
      <xdr:rowOff>103535</xdr:rowOff>
    </xdr:from>
    <xdr:to>
      <xdr:col>11</xdr:col>
      <xdr:colOff>9950</xdr:colOff>
      <xdr:row>111</xdr:row>
      <xdr:rowOff>38101</xdr:rowOff>
    </xdr:to>
    <xdr:sp macro="" textlink="">
      <xdr:nvSpPr>
        <xdr:cNvPr id="5" name="TextBox 4">
          <a:extLst>
            <a:ext uri="{FF2B5EF4-FFF2-40B4-BE49-F238E27FC236}">
              <a16:creationId xmlns:a16="http://schemas.microsoft.com/office/drawing/2014/main" id="{3181934F-AED0-429C-9E72-5E7B55AFA0A8}"/>
            </a:ext>
          </a:extLst>
        </xdr:cNvPr>
        <xdr:cNvSpPr txBox="1"/>
      </xdr:nvSpPr>
      <xdr:spPr>
        <a:xfrm>
          <a:off x="149862" y="22344410"/>
          <a:ext cx="9785138" cy="506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050" b="0" i="1">
              <a:solidFill>
                <a:schemeClr val="bg1">
                  <a:lumMod val="75000"/>
                </a:schemeClr>
              </a:solidFill>
              <a:effectLst/>
              <a:latin typeface="+mn-lt"/>
              <a:ea typeface="+mn-ea"/>
              <a:cs typeface="+mn-cs"/>
            </a:rPr>
            <a:t>Disclaimer : This report is made as part</a:t>
          </a:r>
          <a:r>
            <a:rPr lang="en-IN" sz="1050" b="0" i="1" baseline="0">
              <a:solidFill>
                <a:schemeClr val="bg1">
                  <a:lumMod val="75000"/>
                </a:schemeClr>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1100" i="1">
            <a:solidFill>
              <a:schemeClr val="bg1">
                <a:lumMod val="75000"/>
              </a:schemeClr>
            </a:solidFill>
            <a:effectLst/>
          </a:endParaRPr>
        </a:p>
        <a:p>
          <a:pPr marL="0" marR="0" lvl="0" indent="0" algn="ctr"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200" b="0" i="1">
            <a:solidFill>
              <a:schemeClr val="dk1"/>
            </a:solidFill>
            <a:effectLst/>
            <a:latin typeface="+mn-lt"/>
            <a:ea typeface="+mn-ea"/>
            <a:cs typeface="+mn-cs"/>
          </a:endParaRPr>
        </a:p>
      </xdr:txBody>
    </xdr:sp>
    <xdr:clientData/>
  </xdr:twoCellAnchor>
  <xdr:twoCellAnchor>
    <xdr:from>
      <xdr:col>0</xdr:col>
      <xdr:colOff>0</xdr:colOff>
      <xdr:row>20</xdr:row>
      <xdr:rowOff>27518</xdr:rowOff>
    </xdr:from>
    <xdr:to>
      <xdr:col>2</xdr:col>
      <xdr:colOff>546100</xdr:colOff>
      <xdr:row>30</xdr:row>
      <xdr:rowOff>139700</xdr:rowOff>
    </xdr:to>
    <xdr:graphicFrame macro="">
      <xdr:nvGraphicFramePr>
        <xdr:cNvPr id="6" name="Chart 5">
          <a:extLst>
            <a:ext uri="{FF2B5EF4-FFF2-40B4-BE49-F238E27FC236}">
              <a16:creationId xmlns:a16="http://schemas.microsoft.com/office/drawing/2014/main" id="{665D3FBA-6E0A-40B6-AE65-E9B292F1D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755650</xdr:colOff>
      <xdr:row>20</xdr:row>
      <xdr:rowOff>50799</xdr:rowOff>
    </xdr:from>
    <xdr:to>
      <xdr:col>6</xdr:col>
      <xdr:colOff>482600</xdr:colOff>
      <xdr:row>30</xdr:row>
      <xdr:rowOff>146049</xdr:rowOff>
    </xdr:to>
    <xdr:graphicFrame macro="">
      <xdr:nvGraphicFramePr>
        <xdr:cNvPr id="7" name="Chart 6">
          <a:extLst>
            <a:ext uri="{FF2B5EF4-FFF2-40B4-BE49-F238E27FC236}">
              <a16:creationId xmlns:a16="http://schemas.microsoft.com/office/drawing/2014/main" id="{53863DAA-58BA-41AA-989F-086F1DC9C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352425</xdr:colOff>
      <xdr:row>20</xdr:row>
      <xdr:rowOff>19050</xdr:rowOff>
    </xdr:from>
    <xdr:to>
      <xdr:col>11</xdr:col>
      <xdr:colOff>161925</xdr:colOff>
      <xdr:row>30</xdr:row>
      <xdr:rowOff>122767</xdr:rowOff>
    </xdr:to>
    <xdr:graphicFrame macro="">
      <xdr:nvGraphicFramePr>
        <xdr:cNvPr id="8" name="Chart 7">
          <a:extLst>
            <a:ext uri="{FF2B5EF4-FFF2-40B4-BE49-F238E27FC236}">
              <a16:creationId xmlns:a16="http://schemas.microsoft.com/office/drawing/2014/main" id="{7A95DBD8-25C9-4C16-A533-582386632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32</xdr:row>
      <xdr:rowOff>25400</xdr:rowOff>
    </xdr:from>
    <xdr:to>
      <xdr:col>2</xdr:col>
      <xdr:colOff>596900</xdr:colOff>
      <xdr:row>42</xdr:row>
      <xdr:rowOff>103982</xdr:rowOff>
    </xdr:to>
    <xdr:graphicFrame macro="">
      <xdr:nvGraphicFramePr>
        <xdr:cNvPr id="9" name="Chart 8">
          <a:extLst>
            <a:ext uri="{FF2B5EF4-FFF2-40B4-BE49-F238E27FC236}">
              <a16:creationId xmlns:a16="http://schemas.microsoft.com/office/drawing/2014/main" id="{C0A523A5-11A2-4632-B967-E5B5AC28C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628650</xdr:colOff>
      <xdr:row>32</xdr:row>
      <xdr:rowOff>12700</xdr:rowOff>
    </xdr:from>
    <xdr:to>
      <xdr:col>6</xdr:col>
      <xdr:colOff>393700</xdr:colOff>
      <xdr:row>42</xdr:row>
      <xdr:rowOff>116682</xdr:rowOff>
    </xdr:to>
    <xdr:graphicFrame macro="">
      <xdr:nvGraphicFramePr>
        <xdr:cNvPr id="10" name="Chart 9">
          <a:extLst>
            <a:ext uri="{FF2B5EF4-FFF2-40B4-BE49-F238E27FC236}">
              <a16:creationId xmlns:a16="http://schemas.microsoft.com/office/drawing/2014/main" id="{766B1AF3-F6A5-473D-9C8E-054E11037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438150</xdr:colOff>
      <xdr:row>32</xdr:row>
      <xdr:rowOff>0</xdr:rowOff>
    </xdr:from>
    <xdr:to>
      <xdr:col>11</xdr:col>
      <xdr:colOff>158750</xdr:colOff>
      <xdr:row>42</xdr:row>
      <xdr:rowOff>110332</xdr:rowOff>
    </xdr:to>
    <xdr:graphicFrame macro="">
      <xdr:nvGraphicFramePr>
        <xdr:cNvPr id="11" name="Chart 10">
          <a:extLst>
            <a:ext uri="{FF2B5EF4-FFF2-40B4-BE49-F238E27FC236}">
              <a16:creationId xmlns:a16="http://schemas.microsoft.com/office/drawing/2014/main" id="{D3C13193-BE50-4490-ADD4-95EA8D791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12</xdr:col>
      <xdr:colOff>38100</xdr:colOff>
      <xdr:row>0</xdr:row>
      <xdr:rowOff>97971</xdr:rowOff>
    </xdr:from>
    <xdr:to>
      <xdr:col>15</xdr:col>
      <xdr:colOff>190500</xdr:colOff>
      <xdr:row>5</xdr:row>
      <xdr:rowOff>142875</xdr:rowOff>
    </xdr:to>
    <xdr:pic>
      <xdr:nvPicPr>
        <xdr:cNvPr id="2" name="Picture 1" descr="Reliance Industries Limited Logo Logo and symbol, meaning, history, PNG">
          <a:extLst>
            <a:ext uri="{FF2B5EF4-FFF2-40B4-BE49-F238E27FC236}">
              <a16:creationId xmlns:a16="http://schemas.microsoft.com/office/drawing/2014/main" id="{51ED90B1-9B91-4333-B75C-42C542D93036}"/>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6896100" y="97971"/>
          <a:ext cx="1981200" cy="11974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7</xdr:col>
      <xdr:colOff>647700</xdr:colOff>
      <xdr:row>0</xdr:row>
      <xdr:rowOff>19050</xdr:rowOff>
    </xdr:from>
    <xdr:to>
      <xdr:col>10</xdr:col>
      <xdr:colOff>114300</xdr:colOff>
      <xdr:row>4</xdr:row>
      <xdr:rowOff>23556</xdr:rowOff>
    </xdr:to>
    <xdr:pic>
      <xdr:nvPicPr>
        <xdr:cNvPr id="2" name="Picture 1" descr="Reliance Industries Limited Logo Logo and symbol, meaning, history, PNG">
          <a:extLst>
            <a:ext uri="{FF2B5EF4-FFF2-40B4-BE49-F238E27FC236}">
              <a16:creationId xmlns:a16="http://schemas.microsoft.com/office/drawing/2014/main" id="{97E2C65B-8292-4ACA-823B-9CAB112EF151}"/>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4857750" y="19050"/>
          <a:ext cx="1333500" cy="776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647700</xdr:colOff>
      <xdr:row>0</xdr:row>
      <xdr:rowOff>19050</xdr:rowOff>
    </xdr:from>
    <xdr:to>
      <xdr:col>11</xdr:col>
      <xdr:colOff>114300</xdr:colOff>
      <xdr:row>4</xdr:row>
      <xdr:rowOff>33081</xdr:rowOff>
    </xdr:to>
    <xdr:pic>
      <xdr:nvPicPr>
        <xdr:cNvPr id="2" name="Picture 1" descr="Reliance Industries Limited Logo Logo and symbol, meaning, history, PNG">
          <a:extLst>
            <a:ext uri="{FF2B5EF4-FFF2-40B4-BE49-F238E27FC236}">
              <a16:creationId xmlns:a16="http://schemas.microsoft.com/office/drawing/2014/main" id="{F4E5B686-0464-4D91-A1FA-5F0F0CC4D9CE}"/>
            </a:ext>
          </a:extLst>
        </xdr:cNvPr>
        <xdr:cNvPicPr>
          <a:picLocks noChangeAspect="1" noChangeArrowheads="1"/>
        </xdr:cNvPicPr>
      </xdr:nvPicPr>
      <xdr:blipFill>
        <a:blip xmlns:r="http://schemas.openxmlformats.org/officeDocument/2006/relationships" r:embed="rId1">
          <a:lum bright="70000" contrast="-70000"/>
          <a:extLst>
            <a:ext uri="{28A0092B-C50C-407E-A947-70E740481C1C}">
              <a14:useLocalDpi xmlns:a14="http://schemas.microsoft.com/office/drawing/2010/main" val="0"/>
            </a:ext>
          </a:extLst>
        </a:blip>
        <a:srcRect/>
        <a:stretch>
          <a:fillRect/>
        </a:stretch>
      </xdr:blipFill>
      <xdr:spPr bwMode="auto">
        <a:xfrm>
          <a:off x="6505575" y="19050"/>
          <a:ext cx="1333500" cy="776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447674</xdr:colOff>
      <xdr:row>237</xdr:row>
      <xdr:rowOff>52387</xdr:rowOff>
    </xdr:from>
    <xdr:to>
      <xdr:col>17</xdr:col>
      <xdr:colOff>0</xdr:colOff>
      <xdr:row>251</xdr:row>
      <xdr:rowOff>128587</xdr:rowOff>
    </xdr:to>
    <xdr:graphicFrame macro="">
      <xdr:nvGraphicFramePr>
        <xdr:cNvPr id="2" name="Chart 1">
          <a:extLst>
            <a:ext uri="{FF2B5EF4-FFF2-40B4-BE49-F238E27FC236}">
              <a16:creationId xmlns:a16="http://schemas.microsoft.com/office/drawing/2014/main" id="{FC974F17-4D12-8A56-BB63-A3F070B3C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1933575</xdr:colOff>
      <xdr:row>9</xdr:row>
      <xdr:rowOff>23812</xdr:rowOff>
    </xdr:from>
    <xdr:to>
      <xdr:col>16</xdr:col>
      <xdr:colOff>466725</xdr:colOff>
      <xdr:row>22</xdr:row>
      <xdr:rowOff>61912</xdr:rowOff>
    </xdr:to>
    <xdr:graphicFrame macro="">
      <xdr:nvGraphicFramePr>
        <xdr:cNvPr id="6" name="Chart 5">
          <a:extLst>
            <a:ext uri="{FF2B5EF4-FFF2-40B4-BE49-F238E27FC236}">
              <a16:creationId xmlns:a16="http://schemas.microsoft.com/office/drawing/2014/main" id="{7FFC702E-16BD-BA90-172F-FF6E51995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financial%20modelling\Dupont%20Analysis%20Model.xlsx" TargetMode="External"/><Relationship Id="rId1" Type="http://schemas.openxmlformats.org/officeDocument/2006/relationships/externalLinkPath" Target="/financial%20modelling/Dupont%20Analysis%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gt;"/>
      <sheetName val="WACC"/>
      <sheetName val="Data&gt;"/>
      <sheetName val="Beta - Regression"/>
      <sheetName val="Beta - Comps"/>
      <sheetName val="Rm"/>
      <sheetName val="Intrisic Growth"/>
      <sheetName val="DCF"/>
      <sheetName val="Comps_Val"/>
      <sheetName val="Football Field"/>
      <sheetName val="Relative Data"/>
      <sheetName val="HistoricalFS"/>
      <sheetName val="Dupont Analysis"/>
      <sheetName val="Data Room&gt;"/>
      <sheetName val="List of Stocks"/>
      <sheetName val="Data Sheet"/>
      <sheetName val="Raw F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screener.in/excel/"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1240-9EFA-428E-9682-BA8835B4C9B1}">
  <sheetPr>
    <pageSetUpPr fitToPage="1"/>
  </sheetPr>
  <dimension ref="B1:M76"/>
  <sheetViews>
    <sheetView showGridLines="0" view="pageBreakPreview" topLeftCell="A28" zoomScale="70" zoomScaleNormal="90" zoomScaleSheetLayoutView="70" workbookViewId="0">
      <selection activeCell="C82" sqref="C82"/>
    </sheetView>
  </sheetViews>
  <sheetFormatPr defaultRowHeight="15" x14ac:dyDescent="0.25"/>
  <cols>
    <col min="1" max="1" width="6" customWidth="1"/>
    <col min="2" max="2" width="29.140625" bestFit="1" customWidth="1"/>
    <col min="4" max="5" width="12.5703125" bestFit="1" customWidth="1"/>
    <col min="6" max="6" width="17.5703125" customWidth="1"/>
    <col min="7" max="7" width="13.140625" bestFit="1" customWidth="1"/>
    <col min="8" max="8" width="13.85546875" customWidth="1"/>
    <col min="9" max="9" width="3" customWidth="1"/>
    <col min="10" max="10" width="10.5703125" customWidth="1"/>
    <col min="11" max="11" width="10" bestFit="1" customWidth="1"/>
    <col min="12" max="13" width="13.28515625" customWidth="1"/>
  </cols>
  <sheetData>
    <row r="1" spans="2:13" ht="31.5" customHeight="1" x14ac:dyDescent="0.45">
      <c r="B1" s="300" t="str">
        <f>'Data Sheet'!B1 &amp;" - One Page Company"</f>
        <v>RELIANCE INDUSTRIES LTD - One Page Company</v>
      </c>
      <c r="C1" s="300"/>
      <c r="D1" s="300"/>
      <c r="E1" s="300"/>
      <c r="F1" s="300"/>
      <c r="G1" s="300"/>
      <c r="H1" s="300"/>
      <c r="I1" s="300"/>
      <c r="J1" s="300"/>
      <c r="K1" s="300"/>
      <c r="L1" s="300"/>
      <c r="M1" s="300"/>
    </row>
    <row r="2" spans="2:13" ht="3" customHeight="1" x14ac:dyDescent="0.25">
      <c r="J2" t="s">
        <v>664</v>
      </c>
    </row>
    <row r="3" spans="2:13" ht="79.5" customHeight="1" x14ac:dyDescent="0.25">
      <c r="E3" s="339" t="str">
        <f>inputsheet!C3</f>
        <v>Reliance Digital is an Indian consumer electronics retailer. It is a subsidiary of Reliance Retail, a wholly owned subsidiary of Reliance Industries. Reliance Digital opened its first store on 24 April 2007 in Delhi. Currently there are more than 8,600 Reliance Digital and 1,800 My Jio stores in around 800 cities in India in addition to an online presence. The stores are spread across the states of Andhra Pradesh, Delhi, Uttar Pradesh, Gujarat, Karnataka, Kerala, Maharashtra, Tamil Nadu, West Bengal, Telangana, Orissa, Assam, Bihar, and Jharkhand. Reliance Digital Stores are bigger in size than the other format Digital Xpress Mini Stores. It is one of the largest electronics retailers in India with over 5,000 products in its inventory.</v>
      </c>
      <c r="F3" s="339"/>
      <c r="G3" s="339"/>
      <c r="H3" s="339"/>
      <c r="I3" s="339"/>
      <c r="J3" s="339"/>
      <c r="K3" s="339"/>
      <c r="L3" s="339"/>
      <c r="M3" s="339"/>
    </row>
    <row r="4" spans="2:13" ht="40.5" customHeight="1" x14ac:dyDescent="0.25">
      <c r="E4" s="340"/>
      <c r="F4" s="340"/>
      <c r="G4" s="340"/>
      <c r="H4" s="340"/>
      <c r="I4" s="340"/>
      <c r="J4" s="340"/>
      <c r="K4" s="340"/>
      <c r="L4" s="340"/>
      <c r="M4" s="340"/>
    </row>
    <row r="5" spans="2:13" x14ac:dyDescent="0.25">
      <c r="B5" s="16" t="s">
        <v>59</v>
      </c>
      <c r="C5" s="15"/>
      <c r="D5" s="15"/>
      <c r="E5" s="15"/>
      <c r="F5" s="15"/>
      <c r="G5" s="15"/>
      <c r="H5" s="15"/>
      <c r="I5" s="15"/>
      <c r="J5" s="15"/>
      <c r="K5" s="15"/>
      <c r="L5" s="15"/>
      <c r="M5" s="15"/>
    </row>
    <row r="6" spans="2:13" x14ac:dyDescent="0.25">
      <c r="B6" s="12" t="s">
        <v>60</v>
      </c>
      <c r="C6" s="12"/>
      <c r="D6" s="18">
        <f>'Data Sheet'!F$16</f>
        <v>43921</v>
      </c>
      <c r="E6" s="18">
        <f>'Data Sheet'!G$16</f>
        <v>44286</v>
      </c>
      <c r="F6" s="18">
        <f>'Data Sheet'!H$16</f>
        <v>44651</v>
      </c>
      <c r="G6" s="18">
        <f>'Data Sheet'!I$16</f>
        <v>45016</v>
      </c>
      <c r="H6" s="18">
        <f>'Data Sheet'!J$16</f>
        <v>45382</v>
      </c>
      <c r="I6" s="256"/>
      <c r="J6" s="301" t="s">
        <v>665</v>
      </c>
      <c r="K6" s="301"/>
      <c r="L6" s="301"/>
      <c r="M6" s="301"/>
    </row>
    <row r="7" spans="2:13" ht="4.5" customHeight="1" x14ac:dyDescent="0.25"/>
    <row r="8" spans="2:13" x14ac:dyDescent="0.25">
      <c r="B8" s="129" t="s">
        <v>61</v>
      </c>
      <c r="C8" s="129"/>
      <c r="D8" s="252">
        <f>'Historical Financial Statement'!H12</f>
        <v>596679</v>
      </c>
      <c r="E8" s="252">
        <f>'Historical Financial Statement'!I12</f>
        <v>466307</v>
      </c>
      <c r="F8" s="252">
        <f>'Historical Financial Statement'!J12</f>
        <v>694673</v>
      </c>
      <c r="G8" s="252">
        <f>'Historical Financial Statement'!K12</f>
        <v>876396</v>
      </c>
      <c r="H8" s="252">
        <f>'Historical Financial Statement'!L12</f>
        <v>899041</v>
      </c>
      <c r="I8" s="23"/>
    </row>
    <row r="9" spans="2:13" x14ac:dyDescent="0.25">
      <c r="B9" s="24" t="s">
        <v>62</v>
      </c>
      <c r="C9" s="24"/>
      <c r="D9" s="254">
        <f>'Historical Financial Statement'!H13</f>
        <v>4.9868299969912266E-2</v>
      </c>
      <c r="E9" s="254">
        <f>'Historical Financial Statement'!I13</f>
        <v>-0.21849604226057895</v>
      </c>
      <c r="F9" s="254">
        <f>'Historical Financial Statement'!J13</f>
        <v>0.48973315862725619</v>
      </c>
      <c r="G9" s="254">
        <f>'Historical Financial Statement'!K13</f>
        <v>0.26159502384575184</v>
      </c>
      <c r="H9" s="254">
        <f>'Historical Financial Statement'!L13</f>
        <v>2.5838776078393799E-2</v>
      </c>
      <c r="I9" s="256"/>
    </row>
    <row r="10" spans="2:13" x14ac:dyDescent="0.25">
      <c r="B10" s="24" t="s">
        <v>392</v>
      </c>
      <c r="C10" s="24"/>
      <c r="D10" s="254">
        <f>'Historical Financial Statement'!H19</f>
        <v>0.25945441351212295</v>
      </c>
      <c r="E10" s="254">
        <f>'Historical Financial Statement'!I19</f>
        <v>0.28860171517905586</v>
      </c>
      <c r="F10" s="254">
        <f>'Historical Financial Statement'!J19</f>
        <v>0.21404459364334011</v>
      </c>
      <c r="G10" s="254">
        <f>'Historical Financial Statement'!K19</f>
        <v>0.20842975093450905</v>
      </c>
      <c r="H10" s="254">
        <f>'Historical Financial Statement'!L19</f>
        <v>0.29311121517261168</v>
      </c>
      <c r="I10" s="256"/>
    </row>
    <row r="11" spans="2:13" x14ac:dyDescent="0.25">
      <c r="B11" s="24" t="s">
        <v>393</v>
      </c>
      <c r="C11" s="24"/>
      <c r="D11" s="254">
        <f>'Historical Financial Statement'!H25</f>
        <v>0.15627330608249998</v>
      </c>
      <c r="E11" s="254">
        <f>'Historical Financial Statement'!I25</f>
        <v>0.16615448620758427</v>
      </c>
      <c r="F11" s="254">
        <f>'Historical Financial Statement'!J25</f>
        <v>0.12153200138770327</v>
      </c>
      <c r="G11" s="254">
        <f>'Historical Financial Statement'!K25</f>
        <v>0.12170753860127158</v>
      </c>
      <c r="H11" s="254">
        <f>'Historical Financial Statement'!L25</f>
        <v>0.19844589957521402</v>
      </c>
      <c r="I11" s="256"/>
      <c r="J11" s="4"/>
    </row>
    <row r="12" spans="2:13" x14ac:dyDescent="0.25">
      <c r="B12" s="24" t="s">
        <v>405</v>
      </c>
      <c r="C12" s="24"/>
      <c r="D12" s="254">
        <f>('Historical Financial Statement'!H33+'Historical Financial Statement'!H30)/'Historical Financial Statement'!H12</f>
        <v>0.11935730937405205</v>
      </c>
      <c r="E12" s="254">
        <f>('Historical Financial Statement'!I33+'Historical Financial Statement'!I30)/'Historical Financial Statement'!I12</f>
        <v>0.1207144649340456</v>
      </c>
      <c r="F12" s="254">
        <f>('Historical Financial Statement'!J33+'Historical Financial Statement'!J30)/'Historical Financial Statement'!J12</f>
        <v>0.10053795094958347</v>
      </c>
      <c r="G12" s="254">
        <f>('Historical Financial Statement'!K33+'Historical Financial Statement'!K30)/'Historical Financial Statement'!K12</f>
        <v>9.9376309339613597E-2</v>
      </c>
      <c r="H12" s="254">
        <f>('Historical Financial Statement'!L33+'Historical Financial Statement'!L30)/'Historical Financial Statement'!L12</f>
        <v>0.17273183314220375</v>
      </c>
      <c r="I12" s="256"/>
      <c r="J12" s="4"/>
    </row>
    <row r="13" spans="2:13" x14ac:dyDescent="0.25">
      <c r="B13" s="24" t="s">
        <v>394</v>
      </c>
      <c r="C13" s="24"/>
      <c r="D13" s="254">
        <f>'Historical Financial Statement'!H40</f>
        <v>7.9863217069351025E-2</v>
      </c>
      <c r="E13" s="254">
        <f>'Historical Financial Statement'!I40</f>
        <v>8.439393482651554E-2</v>
      </c>
      <c r="F13" s="254">
        <f>'Historical Financial Statement'!J40</f>
        <v>4.4120502141096224E-2</v>
      </c>
      <c r="G13" s="254">
        <f>'Historical Financial Statement'!K40</f>
        <v>3.8075386786482909E-2</v>
      </c>
      <c r="H13" s="254">
        <f>'Historical Financial Statement'!L40</f>
        <v>0.12392017900245782</v>
      </c>
      <c r="I13" s="256"/>
    </row>
    <row r="14" spans="2:13" x14ac:dyDescent="0.25">
      <c r="B14" s="24" t="s">
        <v>395</v>
      </c>
      <c r="C14" s="24"/>
      <c r="D14" s="25">
        <f>'Historical Financial Statement'!H44</f>
        <v>26.094190199427672</v>
      </c>
      <c r="E14" s="25">
        <f>'Historical Financial Statement'!I44</f>
        <v>22.080779878380614</v>
      </c>
      <c r="F14" s="25">
        <f>'Historical Financial Statement'!J44</f>
        <v>17.804402134547445</v>
      </c>
      <c r="G14" s="25">
        <f>'Historical Financial Statement'!K44</f>
        <v>19.520811162350718</v>
      </c>
      <c r="H14" s="25">
        <f>'Historical Financial Statement'!L44</f>
        <v>58.200925255332038</v>
      </c>
      <c r="I14" s="23"/>
    </row>
    <row r="15" spans="2:13" x14ac:dyDescent="0.25">
      <c r="B15" s="24" t="s">
        <v>396</v>
      </c>
      <c r="C15" s="24"/>
      <c r="D15" s="254">
        <f>'Historical Financial Statement'!H45</f>
        <v>2.1040239563588692E-2</v>
      </c>
      <c r="E15" s="254">
        <f>'Historical Financial Statement'!I45</f>
        <v>-0.1538047469714191</v>
      </c>
      <c r="F15" s="254">
        <f>'Historical Financial Statement'!J45</f>
        <v>-0.19366968772784099</v>
      </c>
      <c r="G15" s="254">
        <f>'Historical Financial Statement'!K45</f>
        <v>9.6403631800293654E-2</v>
      </c>
      <c r="H15" s="254">
        <f>'Historical Financial Statement'!L45</f>
        <v>1.9814808806502189</v>
      </c>
      <c r="I15" s="256"/>
    </row>
    <row r="16" spans="2:13" x14ac:dyDescent="0.25">
      <c r="B16" s="24" t="s">
        <v>397</v>
      </c>
      <c r="C16" s="24"/>
      <c r="D16" s="25">
        <f>'Historical Financial Statement'!H47</f>
        <v>0.32821726309658156</v>
      </c>
      <c r="E16" s="25">
        <f>'Historical Financial Statement'!I47</f>
        <v>0.28103513243932177</v>
      </c>
      <c r="F16" s="25">
        <f>'Historical Financial Statement'!J47</f>
        <v>0.24999630450849963</v>
      </c>
      <c r="G16" s="25">
        <f>'Historical Financial Statement'!K47</f>
        <v>0.22220908463888067</v>
      </c>
      <c r="H16" s="25">
        <f>'Historical Financial Statement'!L47</f>
        <v>0.19999113213124448</v>
      </c>
      <c r="I16" s="23"/>
    </row>
    <row r="17" spans="2:13" ht="15.75" thickBot="1" x14ac:dyDescent="0.3">
      <c r="B17" s="111" t="s">
        <v>398</v>
      </c>
      <c r="C17" s="111"/>
      <c r="D17" s="253">
        <f>('Historical Financial Statement'!G47-'Historical Financial Statement'!H47)/'Historical Financial Statement'!H47</f>
        <v>6.960587142486592E-2</v>
      </c>
      <c r="E17" s="253">
        <f>('Historical Financial Statement'!H47-'Historical Financial Statement'!I47)/'Historical Financial Statement'!I47</f>
        <v>0.16788694796885181</v>
      </c>
      <c r="F17" s="253">
        <f>('Historical Financial Statement'!I47-'Historical Financial Statement'!J47)/'Historical Financial Statement'!J47</f>
        <v>0.12415714701001447</v>
      </c>
      <c r="G17" s="253">
        <f>('Historical Financial Statement'!J47-'Historical Financial Statement'!K47)/'Historical Financial Statement'!K47</f>
        <v>0.12504988225291011</v>
      </c>
      <c r="H17" s="253">
        <f>('Historical Financial Statement'!K47-'Historical Financial Statement'!L47)/'Historical Financial Statement'!L47</f>
        <v>0.11109468840376198</v>
      </c>
      <c r="I17" s="256"/>
    </row>
    <row r="19" spans="2:13" x14ac:dyDescent="0.25">
      <c r="B19" s="12" t="s">
        <v>399</v>
      </c>
      <c r="C19" s="12"/>
      <c r="D19" s="18">
        <f>'Data Sheet'!F$16</f>
        <v>43921</v>
      </c>
      <c r="E19" s="18">
        <f>'Data Sheet'!G$16</f>
        <v>44286</v>
      </c>
      <c r="F19" s="18">
        <f>'Data Sheet'!H$16</f>
        <v>44651</v>
      </c>
      <c r="G19" s="18">
        <f>'Data Sheet'!I$16</f>
        <v>45016</v>
      </c>
      <c r="H19" s="18">
        <f>'Data Sheet'!J$16</f>
        <v>45382</v>
      </c>
      <c r="I19" s="256"/>
      <c r="J19" s="301" t="s">
        <v>677</v>
      </c>
      <c r="K19" s="301"/>
      <c r="L19" s="301"/>
      <c r="M19" s="301"/>
    </row>
    <row r="21" spans="2:13" x14ac:dyDescent="0.25">
      <c r="B21" s="259" t="s">
        <v>400</v>
      </c>
      <c r="C21" s="259"/>
      <c r="D21" s="260">
        <f>'Data Sheet'!F99</f>
        <v>19.393588999404912</v>
      </c>
      <c r="E21" s="260">
        <f>'Data Sheet'!G99</f>
        <v>41.609943356193746</v>
      </c>
      <c r="F21" s="260">
        <f>'Data Sheet'!H99</f>
        <v>67.877033492465429</v>
      </c>
      <c r="G21" s="260">
        <f>'Data Sheet'!I99</f>
        <v>54.772826349663049</v>
      </c>
      <c r="H21" s="260">
        <f>'Data Sheet'!J99</f>
        <v>25.529662861568937</v>
      </c>
    </row>
    <row r="22" spans="2:13" x14ac:dyDescent="0.25">
      <c r="B22" s="115" t="s">
        <v>307</v>
      </c>
      <c r="C22" s="115"/>
      <c r="D22" s="261">
        <f>'Data Sheet'!F105</f>
        <v>14.663621236527426</v>
      </c>
      <c r="E22" s="261">
        <f>'Data Sheet'!G105</f>
        <v>22.811445349062328</v>
      </c>
      <c r="F22" s="261">
        <f>'Data Sheet'!H105</f>
        <v>27.456900915605566</v>
      </c>
      <c r="G22" s="261">
        <f>'Data Sheet'!I105</f>
        <v>21.264113807845199</v>
      </c>
      <c r="H22" s="261">
        <f>'Data Sheet'!J105</f>
        <v>16.113945154727009</v>
      </c>
    </row>
    <row r="23" spans="2:13" x14ac:dyDescent="0.25">
      <c r="B23" s="115" t="s">
        <v>401</v>
      </c>
      <c r="C23" s="115"/>
      <c r="D23" s="261">
        <f>'Data Sheet'!F106</f>
        <v>2.2915325697736972</v>
      </c>
      <c r="E23" s="261">
        <f>'Data Sheet'!G106</f>
        <v>3.790223981625839</v>
      </c>
      <c r="F23" s="261">
        <f>'Data Sheet'!H106</f>
        <v>3.3368921201774069</v>
      </c>
      <c r="G23" s="261">
        <f>'Data Sheet'!I106</f>
        <v>2.5880029520901511</v>
      </c>
      <c r="H23" s="261">
        <f>'Data Sheet'!J106</f>
        <v>3.1977463419354626</v>
      </c>
    </row>
    <row r="24" spans="2:13" x14ac:dyDescent="0.25">
      <c r="B24" s="115" t="s">
        <v>402</v>
      </c>
      <c r="C24" s="115"/>
      <c r="D24" s="261">
        <f>'Data Sheet'!B108</f>
        <v>1.4178317417816855</v>
      </c>
      <c r="E24" s="261">
        <f>'Data Sheet'!C108</f>
        <v>1.5785993265303799</v>
      </c>
      <c r="F24" s="261">
        <f>'Data Sheet'!D108</f>
        <v>1.8466930870237748</v>
      </c>
      <c r="G24" s="261">
        <f>'Data Sheet'!E108</f>
        <v>2.1637934546074518</v>
      </c>
      <c r="H24" s="261">
        <f>'Data Sheet'!F108</f>
        <v>1.523669116095163</v>
      </c>
    </row>
    <row r="25" spans="2:13" x14ac:dyDescent="0.25">
      <c r="B25" s="115" t="s">
        <v>403</v>
      </c>
      <c r="C25" s="115"/>
      <c r="D25" s="115"/>
      <c r="E25" s="115"/>
      <c r="F25" s="115"/>
      <c r="G25" s="115"/>
      <c r="H25" s="115"/>
    </row>
    <row r="26" spans="2:13" ht="15.75" thickBot="1" x14ac:dyDescent="0.3">
      <c r="B26" s="262" t="s">
        <v>404</v>
      </c>
      <c r="C26" s="262"/>
      <c r="D26" s="262"/>
      <c r="E26" s="262"/>
      <c r="F26" s="262"/>
      <c r="G26" s="262"/>
      <c r="H26" s="262"/>
    </row>
    <row r="28" spans="2:13" x14ac:dyDescent="0.25">
      <c r="B28" s="12" t="s">
        <v>699</v>
      </c>
      <c r="C28" s="12"/>
      <c r="D28" s="302" t="s">
        <v>693</v>
      </c>
      <c r="E28" s="302"/>
      <c r="F28" s="18" t="s">
        <v>692</v>
      </c>
      <c r="G28" s="302" t="s">
        <v>690</v>
      </c>
      <c r="H28" s="302"/>
      <c r="I28" s="256"/>
      <c r="J28" s="301" t="s">
        <v>698</v>
      </c>
      <c r="K28" s="301"/>
      <c r="L28" s="301"/>
      <c r="M28" s="301"/>
    </row>
    <row r="29" spans="2:13" ht="4.5" customHeight="1" x14ac:dyDescent="0.25"/>
    <row r="30" spans="2:13" x14ac:dyDescent="0.25">
      <c r="B30" s="259" t="str">
        <f>Stock!O4</f>
        <v>Srichakra Commercials LLP</v>
      </c>
      <c r="C30" s="259"/>
      <c r="D30" s="259"/>
      <c r="E30" s="263">
        <f>Stock!P4</f>
        <v>147.9199658</v>
      </c>
      <c r="F30" s="264">
        <f>Stock!Q4</f>
        <v>0.1114</v>
      </c>
      <c r="G30" s="259"/>
      <c r="H30" s="263">
        <f>Stock!R4</f>
        <v>204129.55280400001</v>
      </c>
    </row>
    <row r="31" spans="2:13" x14ac:dyDescent="0.25">
      <c r="B31" s="115" t="str">
        <f>Stock!O5</f>
        <v>Tattvam Enterprises LLP</v>
      </c>
      <c r="C31" s="115"/>
      <c r="D31" s="115"/>
      <c r="E31" s="265">
        <f>Stock!P5</f>
        <v>109.11389200000001</v>
      </c>
      <c r="F31" s="266">
        <f>Stock!Q5</f>
        <v>8.2200000000000009E-2</v>
      </c>
      <c r="G31" s="115"/>
      <c r="H31" s="265">
        <f>Stock!R5</f>
        <v>150577.17096000002</v>
      </c>
    </row>
    <row r="32" spans="2:13" x14ac:dyDescent="0.25">
      <c r="B32" s="115" t="str">
        <f>Stock!O6</f>
        <v>Karuna Commercials LLP</v>
      </c>
      <c r="C32" s="115"/>
      <c r="D32" s="115"/>
      <c r="E32" s="265">
        <f>Stock!P6</f>
        <v>109.11389200000001</v>
      </c>
      <c r="F32" s="266">
        <f>Stock!Q6</f>
        <v>8.2200000000000009E-2</v>
      </c>
      <c r="G32" s="115"/>
      <c r="H32" s="265">
        <f>Stock!R6</f>
        <v>150577.17096000002</v>
      </c>
    </row>
    <row r="33" spans="2:13" x14ac:dyDescent="0.25">
      <c r="B33" s="115" t="str">
        <f>Stock!O7</f>
        <v>Devarshi Commercials LLP</v>
      </c>
      <c r="C33" s="115"/>
      <c r="D33" s="115"/>
      <c r="E33" s="265">
        <f>Stock!P7</f>
        <v>109.11389200000001</v>
      </c>
      <c r="F33" s="266">
        <f>Stock!Q7</f>
        <v>8.2200000000000009E-2</v>
      </c>
      <c r="G33" s="115"/>
      <c r="H33" s="265">
        <f>Stock!R7</f>
        <v>150577.17096000002</v>
      </c>
    </row>
    <row r="34" spans="2:13" x14ac:dyDescent="0.25">
      <c r="B34" s="115" t="str">
        <f>Stock!O8</f>
        <v>Life Insurance Corporation of India</v>
      </c>
      <c r="C34" s="115"/>
      <c r="D34" s="115"/>
      <c r="E34" s="265">
        <f>Stock!P8</f>
        <v>91.943615800000003</v>
      </c>
      <c r="F34" s="266">
        <f>Stock!Q8</f>
        <v>6.93E-2</v>
      </c>
      <c r="G34" s="115"/>
      <c r="H34" s="265">
        <f>Stock!R8</f>
        <v>126882.18980400001</v>
      </c>
    </row>
    <row r="35" spans="2:13" x14ac:dyDescent="0.25">
      <c r="B35" s="115" t="str">
        <f>Stock!O9</f>
        <v>Reliance Industries Holding Private Ltd</v>
      </c>
      <c r="C35" s="115"/>
      <c r="D35" s="115"/>
      <c r="E35" s="265">
        <f>Stock!P9</f>
        <v>60.8030142</v>
      </c>
      <c r="F35" s="266">
        <f>Stock!Q9</f>
        <v>4.58E-2</v>
      </c>
      <c r="G35" s="115"/>
      <c r="H35" s="265">
        <f>Stock!R9</f>
        <v>83908.159595999998</v>
      </c>
    </row>
    <row r="36" spans="2:13" x14ac:dyDescent="0.25">
      <c r="B36" s="115" t="str">
        <f>Stock!O10</f>
        <v>Reliance Industrial Investments and Holdings Limited</v>
      </c>
      <c r="C36" s="115"/>
      <c r="D36" s="115"/>
      <c r="E36" s="265">
        <f>Stock!P10</f>
        <v>48.188401200000001</v>
      </c>
      <c r="F36" s="266">
        <f>Stock!Q10</f>
        <v>3.6299999999999999E-2</v>
      </c>
      <c r="G36" s="115"/>
      <c r="H36" s="265">
        <f>Stock!R10</f>
        <v>66499.993656000006</v>
      </c>
    </row>
    <row r="37" spans="2:13" x14ac:dyDescent="0.25">
      <c r="B37" s="115" t="str">
        <f>Stock!O11</f>
        <v xml:space="preserve">Reliance Services and Holdings Limited </v>
      </c>
      <c r="C37" s="115"/>
      <c r="D37" s="115"/>
      <c r="E37" s="265">
        <f>Stock!P11</f>
        <v>34.376564000000002</v>
      </c>
      <c r="F37" s="266">
        <f>Stock!Q11</f>
        <v>2.5899999999999999E-2</v>
      </c>
      <c r="G37" s="115"/>
      <c r="H37" s="265">
        <f>Stock!R11</f>
        <v>47439.658320000002</v>
      </c>
    </row>
    <row r="38" spans="2:13" x14ac:dyDescent="0.25">
      <c r="B38" s="115" t="str">
        <f>Stock!O12</f>
        <v>SBI Mutual Funds</v>
      </c>
      <c r="C38" s="115"/>
      <c r="D38" s="115"/>
      <c r="E38" s="265">
        <f>Stock!P12</f>
        <v>33.760543499999997</v>
      </c>
      <c r="F38" s="266">
        <f>Stock!Q12</f>
        <v>2.5399999999999999E-2</v>
      </c>
      <c r="G38" s="115"/>
      <c r="H38" s="265">
        <f>Stock!R12</f>
        <v>46589.550029999999</v>
      </c>
    </row>
    <row r="39" spans="2:13" ht="15.75" thickBot="1" x14ac:dyDescent="0.3">
      <c r="B39" s="262" t="str">
        <f>Stock!O13</f>
        <v>Samarjit Enterprises LLP</v>
      </c>
      <c r="C39" s="262"/>
      <c r="D39" s="262"/>
      <c r="E39" s="267">
        <f>Stock!P13</f>
        <v>24.925054800000002</v>
      </c>
      <c r="F39" s="268">
        <f>Stock!Q13</f>
        <v>1.8799999999999997E-2</v>
      </c>
      <c r="G39" s="262"/>
      <c r="H39" s="267">
        <f>Stock!R13</f>
        <v>34396.575624000005</v>
      </c>
    </row>
    <row r="41" spans="2:13" x14ac:dyDescent="0.25">
      <c r="B41" s="12" t="s">
        <v>706</v>
      </c>
      <c r="C41" s="12"/>
      <c r="D41" s="302" t="s">
        <v>725</v>
      </c>
      <c r="E41" s="302"/>
      <c r="F41" s="208" t="s">
        <v>723</v>
      </c>
      <c r="G41" s="302" t="s">
        <v>724</v>
      </c>
      <c r="H41" s="302"/>
      <c r="J41" s="301" t="s">
        <v>204</v>
      </c>
      <c r="K41" s="301"/>
      <c r="L41" s="301"/>
      <c r="M41" s="301"/>
    </row>
    <row r="42" spans="2:13" ht="4.5" customHeight="1" x14ac:dyDescent="0.25"/>
    <row r="43" spans="2:13" x14ac:dyDescent="0.25">
      <c r="B43" s="259" t="s">
        <v>707</v>
      </c>
      <c r="C43" s="259"/>
      <c r="D43" s="303" t="s">
        <v>711</v>
      </c>
      <c r="E43" s="303"/>
      <c r="F43" s="269" t="s">
        <v>726</v>
      </c>
      <c r="G43" s="259"/>
      <c r="H43" s="269" t="s">
        <v>726</v>
      </c>
      <c r="J43" t="s">
        <v>700</v>
      </c>
      <c r="M43">
        <f>'Data Sheet'!B8</f>
        <v>1380</v>
      </c>
    </row>
    <row r="44" spans="2:13" x14ac:dyDescent="0.25">
      <c r="B44" s="115" t="s">
        <v>708</v>
      </c>
      <c r="C44" s="115"/>
      <c r="D44" s="304" t="s">
        <v>711</v>
      </c>
      <c r="E44" s="304"/>
      <c r="F44" s="115">
        <v>25</v>
      </c>
      <c r="G44" s="115"/>
      <c r="H44" s="270" t="s">
        <v>726</v>
      </c>
      <c r="J44" t="s">
        <v>701</v>
      </c>
      <c r="M44" s="22">
        <f>'Data Sheet'!B6</f>
        <v>1353.2469130434783</v>
      </c>
    </row>
    <row r="45" spans="2:13" x14ac:dyDescent="0.25">
      <c r="B45" s="115" t="s">
        <v>709</v>
      </c>
      <c r="C45" s="115"/>
      <c r="D45" s="304" t="s">
        <v>711</v>
      </c>
      <c r="E45" s="304"/>
      <c r="F45" s="115">
        <v>25</v>
      </c>
      <c r="G45" s="115"/>
      <c r="H45" s="270" t="s">
        <v>726</v>
      </c>
      <c r="J45" s="2" t="s">
        <v>702</v>
      </c>
      <c r="K45" s="2"/>
      <c r="L45" s="2"/>
      <c r="M45" s="29">
        <f>M43*M44</f>
        <v>1867480.7400000002</v>
      </c>
    </row>
    <row r="46" spans="2:13" x14ac:dyDescent="0.25">
      <c r="B46" s="115" t="s">
        <v>710</v>
      </c>
      <c r="C46" s="115"/>
      <c r="D46" s="304" t="s">
        <v>711</v>
      </c>
      <c r="E46" s="304"/>
      <c r="F46" s="115">
        <v>19.96</v>
      </c>
      <c r="G46" s="115"/>
      <c r="H46" s="270" t="s">
        <v>726</v>
      </c>
      <c r="J46" t="s">
        <v>703</v>
      </c>
      <c r="M46">
        <f>'Data Sheet'!K69</f>
        <v>106502</v>
      </c>
    </row>
    <row r="47" spans="2:13" x14ac:dyDescent="0.25">
      <c r="B47" s="115" t="s">
        <v>712</v>
      </c>
      <c r="C47" s="115"/>
      <c r="D47" s="304" t="s">
        <v>722</v>
      </c>
      <c r="E47" s="304"/>
      <c r="F47" s="115">
        <v>2.54</v>
      </c>
      <c r="G47" s="115"/>
      <c r="H47" s="270" t="s">
        <v>726</v>
      </c>
      <c r="J47" t="s">
        <v>704</v>
      </c>
      <c r="M47">
        <f>'Data Sheet'!K59</f>
        <v>369575</v>
      </c>
    </row>
    <row r="48" spans="2:13" x14ac:dyDescent="0.25">
      <c r="B48" s="115" t="s">
        <v>713</v>
      </c>
      <c r="C48" s="115"/>
      <c r="D48" s="304" t="s">
        <v>722</v>
      </c>
      <c r="E48" s="304"/>
      <c r="F48" s="115">
        <v>2.42</v>
      </c>
      <c r="G48" s="115"/>
      <c r="H48" s="270" t="s">
        <v>726</v>
      </c>
      <c r="J48" t="s">
        <v>705</v>
      </c>
      <c r="M48" s="191">
        <v>166426</v>
      </c>
    </row>
    <row r="49" spans="2:13" x14ac:dyDescent="0.25">
      <c r="B49" s="115" t="s">
        <v>714</v>
      </c>
      <c r="C49" s="115"/>
      <c r="D49" s="304" t="s">
        <v>722</v>
      </c>
      <c r="E49" s="304"/>
      <c r="F49" s="115">
        <v>2.42</v>
      </c>
      <c r="G49" s="115"/>
      <c r="H49" s="270" t="s">
        <v>726</v>
      </c>
      <c r="J49" s="2" t="s">
        <v>304</v>
      </c>
      <c r="K49" s="2"/>
      <c r="L49" s="2"/>
      <c r="M49" s="29">
        <f>SUM(M45:M48)</f>
        <v>2509983.7400000002</v>
      </c>
    </row>
    <row r="50" spans="2:13" x14ac:dyDescent="0.25">
      <c r="B50" s="115" t="s">
        <v>716</v>
      </c>
      <c r="C50" s="115"/>
      <c r="D50" s="304" t="s">
        <v>722</v>
      </c>
      <c r="E50" s="304"/>
      <c r="F50" s="115">
        <v>2.27</v>
      </c>
      <c r="G50" s="115"/>
      <c r="H50" s="270" t="s">
        <v>726</v>
      </c>
    </row>
    <row r="51" spans="2:13" x14ac:dyDescent="0.25">
      <c r="B51" s="115" t="s">
        <v>715</v>
      </c>
      <c r="C51" s="115"/>
      <c r="D51" s="304" t="s">
        <v>722</v>
      </c>
      <c r="E51" s="304"/>
      <c r="F51" s="115">
        <v>2.61</v>
      </c>
      <c r="G51" s="115"/>
      <c r="H51" s="270" t="s">
        <v>726</v>
      </c>
    </row>
    <row r="52" spans="2:13" x14ac:dyDescent="0.25">
      <c r="B52" s="115" t="s">
        <v>717</v>
      </c>
      <c r="C52" s="115"/>
      <c r="D52" s="304" t="s">
        <v>722</v>
      </c>
      <c r="E52" s="304"/>
      <c r="F52" s="115">
        <v>2.33</v>
      </c>
      <c r="G52" s="115"/>
      <c r="H52" s="270" t="s">
        <v>726</v>
      </c>
    </row>
    <row r="53" spans="2:13" x14ac:dyDescent="0.25">
      <c r="B53" s="115" t="s">
        <v>718</v>
      </c>
      <c r="C53" s="115"/>
      <c r="D53" s="304" t="s">
        <v>722</v>
      </c>
      <c r="E53" s="304"/>
      <c r="F53" s="115">
        <v>2.4700000000000002</v>
      </c>
      <c r="G53" s="115"/>
      <c r="H53" s="270" t="s">
        <v>726</v>
      </c>
    </row>
    <row r="54" spans="2:13" x14ac:dyDescent="0.25">
      <c r="B54" s="115" t="s">
        <v>719</v>
      </c>
      <c r="C54" s="115"/>
      <c r="D54" s="304" t="s">
        <v>722</v>
      </c>
      <c r="E54" s="304"/>
      <c r="F54" s="115">
        <v>2.31</v>
      </c>
      <c r="G54" s="115"/>
      <c r="H54" s="270" t="s">
        <v>726</v>
      </c>
    </row>
    <row r="55" spans="2:13" x14ac:dyDescent="0.25">
      <c r="B55" s="115" t="s">
        <v>720</v>
      </c>
      <c r="C55" s="115"/>
      <c r="D55" s="304" t="s">
        <v>722</v>
      </c>
      <c r="E55" s="304"/>
      <c r="F55" s="115">
        <v>2.31</v>
      </c>
      <c r="G55" s="115"/>
      <c r="H55" s="270" t="s">
        <v>726</v>
      </c>
    </row>
    <row r="56" spans="2:13" ht="15.75" thickBot="1" x14ac:dyDescent="0.3">
      <c r="B56" s="262" t="s">
        <v>721</v>
      </c>
      <c r="C56" s="262"/>
      <c r="D56" s="305" t="s">
        <v>722</v>
      </c>
      <c r="E56" s="305"/>
      <c r="F56" s="262">
        <v>2.31</v>
      </c>
      <c r="G56" s="262"/>
      <c r="H56" s="271" t="s">
        <v>726</v>
      </c>
    </row>
    <row r="57" spans="2:13" ht="9" customHeight="1" x14ac:dyDescent="0.25">
      <c r="D57" s="207"/>
      <c r="E57" s="207"/>
      <c r="H57" s="257"/>
    </row>
    <row r="58" spans="2:13" ht="12.75" customHeight="1" x14ac:dyDescent="0.25">
      <c r="B58" s="258" t="s">
        <v>728</v>
      </c>
    </row>
    <row r="59" spans="2:13" ht="10.5" customHeight="1" x14ac:dyDescent="0.25">
      <c r="B59" s="258" t="s">
        <v>727</v>
      </c>
    </row>
    <row r="60" spans="2:13" ht="8.25" customHeight="1" x14ac:dyDescent="0.25">
      <c r="B60" s="258" t="s">
        <v>732</v>
      </c>
    </row>
    <row r="61" spans="2:13" ht="0.75" customHeight="1" x14ac:dyDescent="0.25">
      <c r="B61" s="258"/>
    </row>
    <row r="62" spans="2:13" x14ac:dyDescent="0.25">
      <c r="B62" s="12" t="s">
        <v>729</v>
      </c>
      <c r="C62" s="12"/>
      <c r="D62" s="12"/>
      <c r="E62" s="12"/>
      <c r="F62" s="12"/>
      <c r="G62" s="12"/>
      <c r="H62" s="12"/>
      <c r="I62" s="12"/>
      <c r="J62" s="12"/>
      <c r="K62" s="12"/>
      <c r="L62" s="12"/>
      <c r="M62" s="12"/>
    </row>
    <row r="72" spans="2:13" x14ac:dyDescent="0.25">
      <c r="B72" s="12" t="s">
        <v>730</v>
      </c>
      <c r="C72" s="12"/>
      <c r="D72" s="12"/>
      <c r="E72" s="12"/>
      <c r="F72" s="12"/>
      <c r="G72" s="12"/>
      <c r="H72" s="12"/>
      <c r="I72" s="12"/>
      <c r="J72" s="12"/>
      <c r="K72" s="12"/>
      <c r="L72" s="12"/>
      <c r="M72" s="12"/>
    </row>
    <row r="74" spans="2:13" ht="14.25" customHeight="1" x14ac:dyDescent="0.25"/>
    <row r="75" spans="2:13" x14ac:dyDescent="0.25">
      <c r="B75" s="272" t="s">
        <v>731</v>
      </c>
      <c r="M75" s="273" t="s">
        <v>734</v>
      </c>
    </row>
    <row r="76" spans="2:13" x14ac:dyDescent="0.25">
      <c r="B76" s="272" t="s">
        <v>733</v>
      </c>
      <c r="M76" s="273" t="s">
        <v>735</v>
      </c>
    </row>
  </sheetData>
  <mergeCells count="24">
    <mergeCell ref="D55:E55"/>
    <mergeCell ref="D56:E56"/>
    <mergeCell ref="D48:E48"/>
    <mergeCell ref="D49:E49"/>
    <mergeCell ref="D50:E50"/>
    <mergeCell ref="D51:E51"/>
    <mergeCell ref="D52:E52"/>
    <mergeCell ref="D45:E45"/>
    <mergeCell ref="D46:E46"/>
    <mergeCell ref="D47:E47"/>
    <mergeCell ref="D53:E53"/>
    <mergeCell ref="D54:E54"/>
    <mergeCell ref="J41:M41"/>
    <mergeCell ref="D41:E41"/>
    <mergeCell ref="G41:H41"/>
    <mergeCell ref="D43:E43"/>
    <mergeCell ref="D44:E44"/>
    <mergeCell ref="B1:M1"/>
    <mergeCell ref="J6:M6"/>
    <mergeCell ref="J19:M19"/>
    <mergeCell ref="G28:H28"/>
    <mergeCell ref="E3:M4"/>
    <mergeCell ref="D28:E28"/>
    <mergeCell ref="J28:M28"/>
  </mergeCells>
  <pageMargins left="0.25" right="0.25" top="0.75" bottom="0.75" header="0.3" footer="0.3"/>
  <pageSetup scale="5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4C4D-AA12-436F-BDE2-14BE91460755}">
  <sheetPr>
    <pageSetUpPr fitToPage="1"/>
  </sheetPr>
  <dimension ref="A1:Q122"/>
  <sheetViews>
    <sheetView showGridLines="0" view="pageBreakPreview" zoomScale="60" zoomScaleNormal="90" workbookViewId="0">
      <pane ySplit="9" topLeftCell="A72" activePane="bottomLeft" state="frozen"/>
      <selection activeCell="R13" sqref="R13"/>
      <selection pane="bottomLeft" activeCell="U83" sqref="U83"/>
    </sheetView>
  </sheetViews>
  <sheetFormatPr defaultRowHeight="15" x14ac:dyDescent="0.25"/>
  <cols>
    <col min="1" max="1" width="3" customWidth="1"/>
    <col min="2" max="2" width="32.7109375" bestFit="1" customWidth="1"/>
    <col min="3" max="3" width="1.140625" customWidth="1"/>
    <col min="4" max="7" width="13.42578125" bestFit="1" customWidth="1"/>
    <col min="8" max="8" width="13.85546875" bestFit="1" customWidth="1"/>
    <col min="9" max="12" width="13.42578125" bestFit="1" customWidth="1"/>
    <col min="13" max="13" width="13" bestFit="1" customWidth="1"/>
    <col min="14" max="14" width="1" customWidth="1"/>
    <col min="15" max="16" width="9.140625" hidden="1" customWidth="1"/>
    <col min="17" max="17" width="15.85546875" customWidth="1"/>
  </cols>
  <sheetData>
    <row r="1" spans="1:13" x14ac:dyDescent="0.25">
      <c r="B1" s="307" t="str">
        <f>'Data Sheet'!B1</f>
        <v>RELIANCE INDUSTRIES LTD</v>
      </c>
      <c r="C1" s="307"/>
      <c r="D1" s="307"/>
      <c r="E1" s="307"/>
      <c r="F1" s="11"/>
      <c r="G1" s="11"/>
      <c r="H1" s="11"/>
      <c r="I1" s="11"/>
      <c r="J1" s="11"/>
      <c r="K1" s="11"/>
      <c r="L1" s="11"/>
      <c r="M1" s="11"/>
    </row>
    <row r="2" spans="1:13" x14ac:dyDescent="0.25">
      <c r="B2" s="307"/>
      <c r="C2" s="307"/>
      <c r="D2" s="307"/>
      <c r="E2" s="307"/>
      <c r="F2" s="11"/>
      <c r="G2" s="11"/>
      <c r="H2" s="11"/>
      <c r="I2" s="11"/>
      <c r="J2" s="11"/>
      <c r="K2" s="11"/>
      <c r="L2" s="11"/>
      <c r="M2" s="11"/>
    </row>
    <row r="3" spans="1:13" x14ac:dyDescent="0.25">
      <c r="B3" s="307"/>
      <c r="C3" s="307"/>
      <c r="D3" s="307"/>
      <c r="E3" s="307"/>
      <c r="F3" s="11"/>
      <c r="G3" s="11"/>
      <c r="H3" s="11"/>
      <c r="I3" s="11"/>
      <c r="J3" s="11"/>
      <c r="K3" s="11"/>
      <c r="L3" s="11"/>
      <c r="M3" s="11"/>
    </row>
    <row r="4" spans="1:13" ht="15" customHeight="1" x14ac:dyDescent="0.25">
      <c r="B4" s="307"/>
      <c r="C4" s="307"/>
      <c r="D4" s="307"/>
      <c r="E4" s="307"/>
      <c r="F4" s="274"/>
      <c r="G4" s="11"/>
      <c r="H4" s="11"/>
      <c r="I4" s="11"/>
      <c r="J4" s="11"/>
      <c r="K4" s="11"/>
      <c r="L4" s="11"/>
      <c r="M4" s="11"/>
    </row>
    <row r="5" spans="1:13" ht="15" customHeight="1" x14ac:dyDescent="0.25">
      <c r="B5" s="308" t="s">
        <v>63</v>
      </c>
      <c r="C5" s="308"/>
      <c r="D5" s="308"/>
      <c r="E5" s="308"/>
      <c r="F5" s="274"/>
      <c r="G5" s="11"/>
      <c r="H5" s="11"/>
      <c r="I5" s="11"/>
      <c r="J5" s="11"/>
      <c r="K5" s="11"/>
      <c r="L5" s="11"/>
      <c r="M5" s="11"/>
    </row>
    <row r="6" spans="1:13" ht="15.75" x14ac:dyDescent="0.25">
      <c r="B6" s="308"/>
      <c r="C6" s="308"/>
      <c r="D6" s="308"/>
      <c r="E6" s="308"/>
      <c r="F6" s="275"/>
      <c r="G6" s="11"/>
      <c r="H6" s="11"/>
      <c r="I6" s="11"/>
      <c r="J6" s="11"/>
      <c r="K6" s="11"/>
      <c r="L6" s="11"/>
      <c r="M6" s="11"/>
    </row>
    <row r="8" spans="1:13" ht="15.75" x14ac:dyDescent="0.25">
      <c r="B8" s="306" t="str">
        <f>"Historic Financial Statement of - "&amp;'Data Sheet'!B1</f>
        <v>Historic Financial Statement of - RELIANCE INDUSTRIES LTD</v>
      </c>
      <c r="C8" s="306"/>
      <c r="D8" s="306"/>
      <c r="E8" s="306"/>
      <c r="F8" s="306"/>
      <c r="G8" s="306"/>
      <c r="H8" s="306"/>
      <c r="I8" s="306"/>
      <c r="J8" s="306"/>
      <c r="K8" s="306"/>
      <c r="L8" s="306"/>
      <c r="M8" s="11"/>
    </row>
    <row r="9" spans="1:13" x14ac:dyDescent="0.25">
      <c r="B9" s="12" t="s">
        <v>64</v>
      </c>
      <c r="C9" s="17"/>
      <c r="D9" s="18">
        <f>'Data Sheet'!B16</f>
        <v>42460</v>
      </c>
      <c r="E9" s="18">
        <f>'Data Sheet'!C16</f>
        <v>42825</v>
      </c>
      <c r="F9" s="18">
        <f>'Data Sheet'!D16</f>
        <v>43190</v>
      </c>
      <c r="G9" s="18">
        <f>'Data Sheet'!E16</f>
        <v>43555</v>
      </c>
      <c r="H9" s="18">
        <f>'Data Sheet'!F16</f>
        <v>43921</v>
      </c>
      <c r="I9" s="18">
        <f>'Data Sheet'!G16</f>
        <v>44286</v>
      </c>
      <c r="J9" s="18">
        <f>'Data Sheet'!H16</f>
        <v>44651</v>
      </c>
      <c r="K9" s="18">
        <f>'Data Sheet'!I16</f>
        <v>45016</v>
      </c>
      <c r="L9" s="18">
        <f>'Data Sheet'!J16</f>
        <v>45382</v>
      </c>
      <c r="M9" s="18">
        <f>'Data Sheet'!K16</f>
        <v>45747</v>
      </c>
    </row>
    <row r="11" spans="1:13" x14ac:dyDescent="0.25">
      <c r="A11" t="s">
        <v>66</v>
      </c>
      <c r="B11" s="12" t="s">
        <v>65</v>
      </c>
      <c r="C11" s="11"/>
      <c r="D11" s="11"/>
      <c r="E11" s="11"/>
      <c r="F11" s="11"/>
      <c r="G11" s="11"/>
      <c r="H11" s="11"/>
      <c r="I11" s="11"/>
      <c r="J11" s="11"/>
      <c r="K11" s="11"/>
      <c r="L11" s="11"/>
      <c r="M11" s="11"/>
    </row>
    <row r="12" spans="1:13" x14ac:dyDescent="0.25">
      <c r="B12" s="24" t="s">
        <v>1</v>
      </c>
      <c r="C12" s="24"/>
      <c r="D12" s="25">
        <f>IFERROR('Data Sheet'!B17,0)</f>
        <v>272583</v>
      </c>
      <c r="E12" s="25">
        <f>IFERROR('Data Sheet'!C17,0)</f>
        <v>303954</v>
      </c>
      <c r="F12" s="25">
        <f>IFERROR('Data Sheet'!D17,0)</f>
        <v>390823</v>
      </c>
      <c r="G12" s="25">
        <f>IFERROR('Data Sheet'!E17,0)</f>
        <v>568337</v>
      </c>
      <c r="H12" s="25">
        <f>IFERROR('Data Sheet'!F17,0)</f>
        <v>596679</v>
      </c>
      <c r="I12" s="25">
        <f>IFERROR('Data Sheet'!G17,0)</f>
        <v>466307</v>
      </c>
      <c r="J12" s="25">
        <f>IFERROR('Data Sheet'!H17,0)</f>
        <v>694673</v>
      </c>
      <c r="K12" s="25">
        <f>IFERROR('Data Sheet'!I17,0)</f>
        <v>876396</v>
      </c>
      <c r="L12" s="25">
        <f>IFERROR('Data Sheet'!J17,0)</f>
        <v>899041</v>
      </c>
      <c r="M12" s="25">
        <f>IFERROR('Data Sheet'!K17,0)</f>
        <v>964693</v>
      </c>
    </row>
    <row r="13" spans="1:13" x14ac:dyDescent="0.25">
      <c r="B13" s="43" t="s">
        <v>10</v>
      </c>
      <c r="C13" s="43"/>
      <c r="D13" s="43"/>
      <c r="E13" s="44">
        <f>IFERROR(E12/D12-1,0)</f>
        <v>0.11508788148930793</v>
      </c>
      <c r="F13" s="44">
        <f t="shared" ref="F13:M13" si="0">IFERROR(F12/E12-1,0)</f>
        <v>0.28579653500200686</v>
      </c>
      <c r="G13" s="44">
        <f t="shared" si="0"/>
        <v>0.45420561225925793</v>
      </c>
      <c r="H13" s="44">
        <f t="shared" si="0"/>
        <v>4.9868299969912266E-2</v>
      </c>
      <c r="I13" s="44">
        <f t="shared" si="0"/>
        <v>-0.21849604226057895</v>
      </c>
      <c r="J13" s="44">
        <f t="shared" si="0"/>
        <v>0.48973315862725619</v>
      </c>
      <c r="K13" s="44">
        <f t="shared" si="0"/>
        <v>0.26159502384575184</v>
      </c>
      <c r="L13" s="44">
        <f t="shared" si="0"/>
        <v>2.5838776078393799E-2</v>
      </c>
      <c r="M13" s="44">
        <f t="shared" si="0"/>
        <v>7.30244783052163E-2</v>
      </c>
    </row>
    <row r="15" spans="1:13" x14ac:dyDescent="0.25">
      <c r="B15" s="24" t="s">
        <v>67</v>
      </c>
      <c r="C15" s="24"/>
      <c r="D15" s="25">
        <f>IFERROR(SUM('Data Sheet'!B18:B21),0)</f>
        <v>202707</v>
      </c>
      <c r="E15" s="25">
        <f>IFERROR(SUM('Data Sheet'!C18:C21),0)</f>
        <v>243896</v>
      </c>
      <c r="F15" s="25">
        <f>IFERROR(SUM('Data Sheet'!D18:D21),0)</f>
        <v>308946</v>
      </c>
      <c r="G15" s="25">
        <f>IFERROR(SUM('Data Sheet'!E18:E21),0)</f>
        <v>433074</v>
      </c>
      <c r="H15" s="25">
        <f>IFERROR(SUM('Data Sheet'!F18:F21),0)</f>
        <v>441868</v>
      </c>
      <c r="I15" s="25">
        <f>IFERROR(SUM('Data Sheet'!G18:G21),0)</f>
        <v>331730</v>
      </c>
      <c r="J15" s="25">
        <f>IFERROR(SUM('Data Sheet'!H18:H21),0)</f>
        <v>545982</v>
      </c>
      <c r="K15" s="25">
        <f>IFERROR(SUM('Data Sheet'!I18:I21),0)</f>
        <v>693729</v>
      </c>
      <c r="L15" s="25">
        <f>IFERROR(SUM('Data Sheet'!J18:J21),0)</f>
        <v>635522</v>
      </c>
      <c r="M15" s="25">
        <f>IFERROR(SUM('Data Sheet'!K18:K21),0)</f>
        <v>659937</v>
      </c>
    </row>
    <row r="16" spans="1:13" x14ac:dyDescent="0.25">
      <c r="B16" s="43" t="s">
        <v>68</v>
      </c>
      <c r="C16" s="43"/>
      <c r="D16" s="47">
        <f>IFERROR(D15/D12,0)</f>
        <v>0.74365239211542911</v>
      </c>
      <c r="E16" s="44">
        <f t="shared" ref="E16:L16" si="1">IFERROR(E15/E12,0)</f>
        <v>0.80241089112168285</v>
      </c>
      <c r="F16" s="44">
        <f t="shared" si="1"/>
        <v>0.79050107081722421</v>
      </c>
      <c r="G16" s="44">
        <f t="shared" si="1"/>
        <v>0.7620021219804447</v>
      </c>
      <c r="H16" s="44">
        <f t="shared" si="1"/>
        <v>0.74054558648787705</v>
      </c>
      <c r="I16" s="44">
        <f t="shared" si="1"/>
        <v>0.71139828482094414</v>
      </c>
      <c r="J16" s="44">
        <f t="shared" si="1"/>
        <v>0.78595540635665995</v>
      </c>
      <c r="K16" s="44">
        <f t="shared" si="1"/>
        <v>0.79157024906549089</v>
      </c>
      <c r="L16" s="44">
        <f t="shared" si="1"/>
        <v>0.70688878482738826</v>
      </c>
      <c r="M16" s="44">
        <f t="shared" ref="M16" si="2">IFERROR(M15/M12,0)</f>
        <v>0.68409017169192687</v>
      </c>
    </row>
    <row r="18" spans="2:13" x14ac:dyDescent="0.25">
      <c r="B18" s="24" t="s">
        <v>69</v>
      </c>
      <c r="C18" s="24"/>
      <c r="D18" s="25">
        <f>IFERROR(D12-D15,0)</f>
        <v>69876</v>
      </c>
      <c r="E18" s="25">
        <f t="shared" ref="E18:L18" si="3">IFERROR(E12-E15,0)</f>
        <v>60058</v>
      </c>
      <c r="F18" s="25">
        <f t="shared" si="3"/>
        <v>81877</v>
      </c>
      <c r="G18" s="25">
        <f t="shared" si="3"/>
        <v>135263</v>
      </c>
      <c r="H18" s="25">
        <f t="shared" si="3"/>
        <v>154811</v>
      </c>
      <c r="I18" s="25">
        <f t="shared" si="3"/>
        <v>134577</v>
      </c>
      <c r="J18" s="25">
        <f t="shared" si="3"/>
        <v>148691</v>
      </c>
      <c r="K18" s="25">
        <f t="shared" si="3"/>
        <v>182667</v>
      </c>
      <c r="L18" s="25">
        <f t="shared" si="3"/>
        <v>263519</v>
      </c>
      <c r="M18" s="25">
        <f t="shared" ref="M18" si="4">IFERROR(M12-M15,0)</f>
        <v>304756</v>
      </c>
    </row>
    <row r="19" spans="2:13" x14ac:dyDescent="0.25">
      <c r="B19" s="43" t="s">
        <v>70</v>
      </c>
      <c r="C19" s="43"/>
      <c r="D19" s="44">
        <f>IFERROR(D18/D12,0)</f>
        <v>0.25634760788457095</v>
      </c>
      <c r="E19" s="44">
        <f t="shared" ref="E19:L19" si="5">IFERROR(E18/E12,0)</f>
        <v>0.19758910887831713</v>
      </c>
      <c r="F19" s="44">
        <f t="shared" si="5"/>
        <v>0.20949892918277582</v>
      </c>
      <c r="G19" s="44">
        <f t="shared" si="5"/>
        <v>0.2379978780195553</v>
      </c>
      <c r="H19" s="44">
        <f t="shared" si="5"/>
        <v>0.25945441351212295</v>
      </c>
      <c r="I19" s="44">
        <f t="shared" si="5"/>
        <v>0.28860171517905586</v>
      </c>
      <c r="J19" s="44">
        <f t="shared" si="5"/>
        <v>0.21404459364334011</v>
      </c>
      <c r="K19" s="44">
        <f t="shared" si="5"/>
        <v>0.20842975093450905</v>
      </c>
      <c r="L19" s="44">
        <f t="shared" si="5"/>
        <v>0.29311121517261168</v>
      </c>
      <c r="M19" s="44">
        <f t="shared" ref="M19" si="6">IFERROR(M18/M12,0)</f>
        <v>0.31590982830807313</v>
      </c>
    </row>
    <row r="21" spans="2:13" x14ac:dyDescent="0.25">
      <c r="B21" s="24" t="s">
        <v>71</v>
      </c>
      <c r="C21" s="24"/>
      <c r="D21" s="25">
        <f>IFERROR(SUM('Data Sheet'!B23:B24),0)</f>
        <v>15568</v>
      </c>
      <c r="E21" s="25">
        <f>IFERROR(SUM('Data Sheet'!C23:C24),0)</f>
        <v>15799</v>
      </c>
      <c r="F21" s="25">
        <f>IFERROR(SUM('Data Sheet'!D23:D24),0)</f>
        <v>25259</v>
      </c>
      <c r="G21" s="25">
        <f>IFERROR(SUM('Data Sheet'!E23:E24),0)</f>
        <v>47885</v>
      </c>
      <c r="H21" s="25">
        <f>IFERROR(SUM('Data Sheet'!F23:F24),0)</f>
        <v>61566</v>
      </c>
      <c r="I21" s="25">
        <f>IFERROR(SUM('Data Sheet'!G23:G24),0)</f>
        <v>57098</v>
      </c>
      <c r="J21" s="25">
        <f>IFERROR(SUM('Data Sheet'!H23:H24),0)</f>
        <v>64266</v>
      </c>
      <c r="K21" s="25">
        <f>IFERROR(SUM('Data Sheet'!I23:I24),0)</f>
        <v>76003</v>
      </c>
      <c r="L21" s="25">
        <f>IFERROR(SUM('Data Sheet'!J23:J24),0)</f>
        <v>85108</v>
      </c>
      <c r="M21" s="25">
        <f>IFERROR(SUM('Data Sheet'!K23:K24),0)</f>
        <v>141001</v>
      </c>
    </row>
    <row r="22" spans="2:13" x14ac:dyDescent="0.25">
      <c r="B22" s="43" t="s">
        <v>72</v>
      </c>
      <c r="C22" s="43"/>
      <c r="D22" s="44">
        <f>IFERROR(D21/D12,0)</f>
        <v>5.7112879379858615E-2</v>
      </c>
      <c r="E22" s="44">
        <f t="shared" ref="E22:L22" si="7">IFERROR(E21/E12,0)</f>
        <v>5.1978259868269538E-2</v>
      </c>
      <c r="F22" s="44">
        <f t="shared" si="7"/>
        <v>6.4630280203570409E-2</v>
      </c>
      <c r="G22" s="44">
        <f t="shared" si="7"/>
        <v>8.425458838681979E-2</v>
      </c>
      <c r="H22" s="44">
        <f t="shared" si="7"/>
        <v>0.10318110742962296</v>
      </c>
      <c r="I22" s="44">
        <f t="shared" si="7"/>
        <v>0.12244722897147159</v>
      </c>
      <c r="J22" s="44">
        <f t="shared" si="7"/>
        <v>9.2512592255636822E-2</v>
      </c>
      <c r="K22" s="44">
        <f t="shared" si="7"/>
        <v>8.6722212333237486E-2</v>
      </c>
      <c r="L22" s="44">
        <f t="shared" si="7"/>
        <v>9.4665315597397673E-2</v>
      </c>
      <c r="M22" s="44">
        <f t="shared" ref="M22" si="8">IFERROR(M21/M12,0)</f>
        <v>0.14616152496182724</v>
      </c>
    </row>
    <row r="24" spans="2:13" x14ac:dyDescent="0.25">
      <c r="B24" s="24" t="s">
        <v>136</v>
      </c>
      <c r="C24" s="24"/>
      <c r="D24" s="25">
        <f>IFERROR(D18-D21,0)</f>
        <v>54308</v>
      </c>
      <c r="E24" s="25">
        <f t="shared" ref="E24:L24" si="9">IFERROR(E18-E21,0)</f>
        <v>44259</v>
      </c>
      <c r="F24" s="25">
        <f t="shared" si="9"/>
        <v>56618</v>
      </c>
      <c r="G24" s="25">
        <f t="shared" si="9"/>
        <v>87378</v>
      </c>
      <c r="H24" s="25">
        <f t="shared" si="9"/>
        <v>93245</v>
      </c>
      <c r="I24" s="25">
        <f t="shared" si="9"/>
        <v>77479</v>
      </c>
      <c r="J24" s="25">
        <f t="shared" si="9"/>
        <v>84425</v>
      </c>
      <c r="K24" s="25">
        <f t="shared" si="9"/>
        <v>106664</v>
      </c>
      <c r="L24" s="25">
        <f t="shared" si="9"/>
        <v>178411</v>
      </c>
      <c r="M24" s="25">
        <f t="shared" ref="M24" si="10">IFERROR(M18-M21,0)</f>
        <v>163755</v>
      </c>
    </row>
    <row r="25" spans="2:13" x14ac:dyDescent="0.25">
      <c r="B25" s="43" t="s">
        <v>137</v>
      </c>
      <c r="C25" s="43"/>
      <c r="D25" s="44">
        <f>IFERROR(D24/D12,0)</f>
        <v>0.19923472850471233</v>
      </c>
      <c r="E25" s="44">
        <f t="shared" ref="E25:L25" si="11">IFERROR(E24/E12,0)</f>
        <v>0.14561084901004756</v>
      </c>
      <c r="F25" s="44">
        <f t="shared" si="11"/>
        <v>0.14486864897920543</v>
      </c>
      <c r="G25" s="44">
        <f t="shared" si="11"/>
        <v>0.15374328963273551</v>
      </c>
      <c r="H25" s="44">
        <f t="shared" si="11"/>
        <v>0.15627330608249998</v>
      </c>
      <c r="I25" s="44">
        <f t="shared" si="11"/>
        <v>0.16615448620758427</v>
      </c>
      <c r="J25" s="44">
        <f t="shared" si="11"/>
        <v>0.12153200138770327</v>
      </c>
      <c r="K25" s="44">
        <f t="shared" si="11"/>
        <v>0.12170753860127158</v>
      </c>
      <c r="L25" s="44">
        <f t="shared" si="11"/>
        <v>0.19844589957521402</v>
      </c>
      <c r="M25" s="44">
        <f t="shared" ref="M25" si="12">IFERROR(M24/M12,0)</f>
        <v>0.16974830334624591</v>
      </c>
    </row>
    <row r="27" spans="2:13" x14ac:dyDescent="0.25">
      <c r="B27" s="45" t="s">
        <v>6</v>
      </c>
      <c r="C27" s="24"/>
      <c r="D27" s="25">
        <f>IFERROR('Data Sheet'!B27,0)</f>
        <v>3691</v>
      </c>
      <c r="E27" s="25">
        <f>IFERROR('Data Sheet'!C27,0)</f>
        <v>3849</v>
      </c>
      <c r="F27" s="25">
        <f>IFERROR('Data Sheet'!D27,0)</f>
        <v>8052</v>
      </c>
      <c r="G27" s="25">
        <f>IFERROR('Data Sheet'!E27,0)</f>
        <v>16495</v>
      </c>
      <c r="H27" s="25">
        <f>IFERROR('Data Sheet'!F27,0)</f>
        <v>22027</v>
      </c>
      <c r="I27" s="25">
        <f>IFERROR('Data Sheet'!G27,0)</f>
        <v>21189</v>
      </c>
      <c r="J27" s="25">
        <f>IFERROR('Data Sheet'!H27,0)</f>
        <v>14584</v>
      </c>
      <c r="K27" s="25">
        <f>IFERROR('Data Sheet'!I27,0)</f>
        <v>19571</v>
      </c>
      <c r="L27" s="25">
        <f>IFERROR('Data Sheet'!J27,0)</f>
        <v>23118</v>
      </c>
      <c r="M27" s="25">
        <f>IFERROR('Data Sheet'!K27,0)</f>
        <v>24269</v>
      </c>
    </row>
    <row r="28" spans="2:13" x14ac:dyDescent="0.25">
      <c r="B28" s="43" t="s">
        <v>73</v>
      </c>
      <c r="C28" s="43"/>
      <c r="D28" s="44">
        <f>IFERROR(D27/D12,0)</f>
        <v>1.3540829765612676E-2</v>
      </c>
      <c r="E28" s="44">
        <f t="shared" ref="E28:L28" si="13">IFERROR(E27/E12,0)</f>
        <v>1.2663100337551077E-2</v>
      </c>
      <c r="F28" s="44">
        <f t="shared" si="13"/>
        <v>2.0602676915125261E-2</v>
      </c>
      <c r="G28" s="44">
        <f t="shared" si="13"/>
        <v>2.902327316363355E-2</v>
      </c>
      <c r="H28" s="44">
        <f t="shared" si="13"/>
        <v>3.6915996708447925E-2</v>
      </c>
      <c r="I28" s="44">
        <f t="shared" si="13"/>
        <v>4.5440021273538675E-2</v>
      </c>
      <c r="J28" s="44">
        <f t="shared" si="13"/>
        <v>2.0994050438119805E-2</v>
      </c>
      <c r="K28" s="44">
        <f t="shared" si="13"/>
        <v>2.2331229261657971E-2</v>
      </c>
      <c r="L28" s="44">
        <f t="shared" si="13"/>
        <v>2.5714066433010285E-2</v>
      </c>
      <c r="M28" s="44">
        <f t="shared" ref="M28" si="14">IFERROR(M27/M12,0)</f>
        <v>2.515722618491064E-2</v>
      </c>
    </row>
    <row r="30" spans="2:13" x14ac:dyDescent="0.25">
      <c r="B30" s="45" t="s">
        <v>5</v>
      </c>
      <c r="C30" s="24"/>
      <c r="D30" s="25">
        <f>IFERROR('Data Sheet'!B26,0)</f>
        <v>11565</v>
      </c>
      <c r="E30" s="25">
        <f>IFERROR('Data Sheet'!C26,0)</f>
        <v>11646</v>
      </c>
      <c r="F30" s="25">
        <f>IFERROR('Data Sheet'!D26,0)</f>
        <v>16706</v>
      </c>
      <c r="G30" s="25">
        <f>IFERROR('Data Sheet'!E26,0)</f>
        <v>20934</v>
      </c>
      <c r="H30" s="25">
        <f>IFERROR('Data Sheet'!F26,0)</f>
        <v>22203</v>
      </c>
      <c r="I30" s="25">
        <f>IFERROR('Data Sheet'!G26,0)</f>
        <v>26572</v>
      </c>
      <c r="J30" s="25">
        <f>IFERROR('Data Sheet'!H26,0)</f>
        <v>29782</v>
      </c>
      <c r="K30" s="25">
        <f>IFERROR('Data Sheet'!I26,0)</f>
        <v>40303</v>
      </c>
      <c r="L30" s="25">
        <f>IFERROR('Data Sheet'!J26,0)</f>
        <v>50832</v>
      </c>
      <c r="M30" s="25">
        <f>IFERROR('Data Sheet'!K26,0)</f>
        <v>53136</v>
      </c>
    </row>
    <row r="31" spans="2:13" x14ac:dyDescent="0.25">
      <c r="B31" s="43" t="s">
        <v>74</v>
      </c>
      <c r="C31" s="43"/>
      <c r="D31" s="44">
        <f>IFERROR(D30/D12,0)</f>
        <v>4.242744411793839E-2</v>
      </c>
      <c r="E31" s="44">
        <f t="shared" ref="E31:L31" si="15">IFERROR(E30/E12,0)</f>
        <v>3.8315008192029057E-2</v>
      </c>
      <c r="F31" s="44">
        <f t="shared" si="15"/>
        <v>4.2745693063100179E-2</v>
      </c>
      <c r="G31" s="44">
        <f t="shared" si="15"/>
        <v>3.6833779958017863E-2</v>
      </c>
      <c r="H31" s="44">
        <f t="shared" si="15"/>
        <v>3.721096267842508E-2</v>
      </c>
      <c r="I31" s="44">
        <f t="shared" si="15"/>
        <v>5.6983918319905125E-2</v>
      </c>
      <c r="J31" s="44">
        <f t="shared" si="15"/>
        <v>4.2871969977241089E-2</v>
      </c>
      <c r="K31" s="44">
        <f t="shared" si="15"/>
        <v>4.5987202132369384E-2</v>
      </c>
      <c r="L31" s="44">
        <f t="shared" si="15"/>
        <v>5.6540246774062587E-2</v>
      </c>
      <c r="M31" s="44">
        <f t="shared" ref="M31" si="16">IFERROR(M30/M12,0)</f>
        <v>5.50807355293342E-2</v>
      </c>
    </row>
    <row r="33" spans="2:13" x14ac:dyDescent="0.25">
      <c r="B33" s="24" t="s">
        <v>75</v>
      </c>
      <c r="C33" s="24"/>
      <c r="D33" s="25">
        <f>IFERROR(D24-SUM(D27+D30),0)</f>
        <v>39052</v>
      </c>
      <c r="E33" s="25">
        <f t="shared" ref="E33:L33" si="17">IFERROR(E24-SUM(E27+E30),0)</f>
        <v>28764</v>
      </c>
      <c r="F33" s="25">
        <f t="shared" si="17"/>
        <v>31860</v>
      </c>
      <c r="G33" s="25">
        <f t="shared" si="17"/>
        <v>49949</v>
      </c>
      <c r="H33" s="25">
        <f t="shared" si="17"/>
        <v>49015</v>
      </c>
      <c r="I33" s="25">
        <f t="shared" si="17"/>
        <v>29718</v>
      </c>
      <c r="J33" s="25">
        <f t="shared" si="17"/>
        <v>40059</v>
      </c>
      <c r="K33" s="25">
        <f t="shared" si="17"/>
        <v>46790</v>
      </c>
      <c r="L33" s="25">
        <f t="shared" si="17"/>
        <v>104461</v>
      </c>
      <c r="M33" s="25">
        <f t="shared" ref="M33" si="18">IFERROR(M24-SUM(M27+M30),0)</f>
        <v>86350</v>
      </c>
    </row>
    <row r="34" spans="2:13" x14ac:dyDescent="0.25">
      <c r="B34" s="43" t="s">
        <v>76</v>
      </c>
      <c r="C34" s="43"/>
      <c r="D34" s="44">
        <f>IFERROR(D33/D12,0)</f>
        <v>0.14326645462116125</v>
      </c>
      <c r="E34" s="44">
        <f t="shared" ref="E34:L34" si="19">IFERROR(E33/E12,0)</f>
        <v>9.4632740480467437E-2</v>
      </c>
      <c r="F34" s="44">
        <f t="shared" si="19"/>
        <v>8.1520279000979981E-2</v>
      </c>
      <c r="G34" s="44">
        <f t="shared" si="19"/>
        <v>8.7886236511084098E-2</v>
      </c>
      <c r="H34" s="44">
        <f t="shared" si="19"/>
        <v>8.2146346695626968E-2</v>
      </c>
      <c r="I34" s="44">
        <f t="shared" si="19"/>
        <v>6.3730546614140474E-2</v>
      </c>
      <c r="J34" s="44">
        <f t="shared" si="19"/>
        <v>5.7665980972342386E-2</v>
      </c>
      <c r="K34" s="44">
        <f t="shared" si="19"/>
        <v>5.3389107207244213E-2</v>
      </c>
      <c r="L34" s="44">
        <f t="shared" si="19"/>
        <v>0.11619158636814117</v>
      </c>
      <c r="M34" s="44">
        <f t="shared" ref="M34" si="20">IFERROR(M33/M12,0)</f>
        <v>8.9510341632001056E-2</v>
      </c>
    </row>
    <row r="36" spans="2:13" x14ac:dyDescent="0.25">
      <c r="B36" s="24" t="s">
        <v>8</v>
      </c>
      <c r="C36" s="24"/>
      <c r="D36" s="25">
        <f>IFERROR('Data Sheet'!B29,0)</f>
        <v>8876</v>
      </c>
      <c r="E36" s="25">
        <f>IFERROR('Data Sheet'!C29,0)</f>
        <v>10201</v>
      </c>
      <c r="F36" s="25">
        <f>IFERROR('Data Sheet'!D29,0)</f>
        <v>13346</v>
      </c>
      <c r="G36" s="25">
        <f>IFERROR('Data Sheet'!E29,0)</f>
        <v>15390</v>
      </c>
      <c r="H36" s="25">
        <f>IFERROR('Data Sheet'!F29,0)</f>
        <v>13726</v>
      </c>
      <c r="I36" s="25">
        <f>IFERROR('Data Sheet'!G29,0)</f>
        <v>1722</v>
      </c>
      <c r="J36" s="25">
        <f>IFERROR('Data Sheet'!H29,0)</f>
        <v>15970</v>
      </c>
      <c r="K36" s="25">
        <f>IFERROR('Data Sheet'!I29,0)</f>
        <v>20376</v>
      </c>
      <c r="L36" s="25">
        <f>IFERROR('Data Sheet'!J29,0)</f>
        <v>25707</v>
      </c>
      <c r="M36" s="25">
        <f>IFERROR('Data Sheet'!K29,0)</f>
        <v>25230</v>
      </c>
    </row>
    <row r="37" spans="2:13" x14ac:dyDescent="0.25">
      <c r="B37" s="43" t="s">
        <v>77</v>
      </c>
      <c r="C37" s="43"/>
      <c r="D37" s="44">
        <f>IFERROR(D36/D33,0)</f>
        <v>0.22728669466352555</v>
      </c>
      <c r="E37" s="44">
        <f t="shared" ref="E37:L37" si="21">IFERROR(E36/E33,0)</f>
        <v>0.35464469475733557</v>
      </c>
      <c r="F37" s="44">
        <f t="shared" si="21"/>
        <v>0.41889516635279345</v>
      </c>
      <c r="G37" s="44">
        <f t="shared" si="21"/>
        <v>0.30811427656209334</v>
      </c>
      <c r="H37" s="44">
        <f t="shared" si="21"/>
        <v>0.28003672345200448</v>
      </c>
      <c r="I37" s="44">
        <f t="shared" si="21"/>
        <v>5.7944679991924083E-2</v>
      </c>
      <c r="J37" s="44">
        <f t="shared" si="21"/>
        <v>0.39866197358895628</v>
      </c>
      <c r="K37" s="44">
        <f t="shared" si="21"/>
        <v>0.43547766616798461</v>
      </c>
      <c r="L37" s="44">
        <f t="shared" si="21"/>
        <v>0.24609184288873359</v>
      </c>
      <c r="M37" s="44">
        <f t="shared" ref="M37" si="22">IFERROR(M36/M33,0)</f>
        <v>0.29218297625940937</v>
      </c>
    </row>
    <row r="39" spans="2:13" x14ac:dyDescent="0.25">
      <c r="B39" s="24" t="s">
        <v>78</v>
      </c>
      <c r="C39" s="24"/>
      <c r="D39" s="25">
        <f>IFERROR(D33-D36,0)</f>
        <v>30176</v>
      </c>
      <c r="E39" s="25">
        <f t="shared" ref="E39:L39" si="23">IFERROR(E33-E36,0)</f>
        <v>18563</v>
      </c>
      <c r="F39" s="25">
        <f t="shared" si="23"/>
        <v>18514</v>
      </c>
      <c r="G39" s="25">
        <f t="shared" si="23"/>
        <v>34559</v>
      </c>
      <c r="H39" s="25">
        <f t="shared" si="23"/>
        <v>35289</v>
      </c>
      <c r="I39" s="25">
        <f t="shared" si="23"/>
        <v>27996</v>
      </c>
      <c r="J39" s="25">
        <f t="shared" si="23"/>
        <v>24089</v>
      </c>
      <c r="K39" s="25">
        <f t="shared" si="23"/>
        <v>26414</v>
      </c>
      <c r="L39" s="25">
        <f t="shared" si="23"/>
        <v>78754</v>
      </c>
      <c r="M39" s="25">
        <f t="shared" ref="M39" si="24">IFERROR(M33-M36,0)</f>
        <v>61120</v>
      </c>
    </row>
    <row r="40" spans="2:13" x14ac:dyDescent="0.25">
      <c r="B40" s="43" t="s">
        <v>79</v>
      </c>
      <c r="C40" s="43"/>
      <c r="D40" s="44">
        <f>IFERROR(D39/D15,0)</f>
        <v>0.14886511072631928</v>
      </c>
      <c r="E40" s="44">
        <f t="shared" ref="E40:L40" si="25">IFERROR(E39/E15,0)</f>
        <v>7.6110309312165836E-2</v>
      </c>
      <c r="F40" s="44">
        <f t="shared" si="25"/>
        <v>5.9926330167731579E-2</v>
      </c>
      <c r="G40" s="44">
        <f t="shared" si="25"/>
        <v>7.9799295270554224E-2</v>
      </c>
      <c r="H40" s="44">
        <f t="shared" si="25"/>
        <v>7.9863217069351025E-2</v>
      </c>
      <c r="I40" s="44">
        <f t="shared" si="25"/>
        <v>8.439393482651554E-2</v>
      </c>
      <c r="J40" s="44">
        <f t="shared" si="25"/>
        <v>4.4120502141096224E-2</v>
      </c>
      <c r="K40" s="44">
        <f t="shared" si="25"/>
        <v>3.8075386786482909E-2</v>
      </c>
      <c r="L40" s="44">
        <f t="shared" si="25"/>
        <v>0.12392017900245782</v>
      </c>
      <c r="M40" s="44">
        <f t="shared" ref="M40" si="26">IFERROR(M39/M15,0)</f>
        <v>9.2614901119349266E-2</v>
      </c>
    </row>
    <row r="42" spans="2:13" x14ac:dyDescent="0.25">
      <c r="B42" s="24" t="s">
        <v>41</v>
      </c>
      <c r="C42" s="24"/>
      <c r="D42" s="25">
        <f>IFERROR('Data Sheet'!B93,0)</f>
        <v>1382.58</v>
      </c>
      <c r="E42" s="25">
        <f>IFERROR('Data Sheet'!C93,0)</f>
        <v>1387.22</v>
      </c>
      <c r="F42" s="25">
        <f>IFERROR('Data Sheet'!D93,0)</f>
        <v>1351.39</v>
      </c>
      <c r="G42" s="25">
        <f>IFERROR('Data Sheet'!E93,0)</f>
        <v>1352.26</v>
      </c>
      <c r="H42" s="25">
        <f>IFERROR('Data Sheet'!F93,0)</f>
        <v>1352.37</v>
      </c>
      <c r="I42" s="25">
        <f>IFERROR('Data Sheet'!G93,0)</f>
        <v>1267.8900000000001</v>
      </c>
      <c r="J42" s="25">
        <f>IFERROR('Data Sheet'!H93,0)</f>
        <v>1352.98</v>
      </c>
      <c r="K42" s="25">
        <f>IFERROR('Data Sheet'!I93,0)</f>
        <v>1353.12</v>
      </c>
      <c r="L42" s="25">
        <f>IFERROR('Data Sheet'!J93,0)</f>
        <v>1353.14</v>
      </c>
      <c r="M42" s="25">
        <f>IFERROR('Data Sheet'!K93,0)</f>
        <v>1353.24</v>
      </c>
    </row>
    <row r="44" spans="2:13" x14ac:dyDescent="0.25">
      <c r="B44" s="24" t="s">
        <v>80</v>
      </c>
      <c r="C44" s="24"/>
      <c r="D44" s="25">
        <f>IFERROR(D39/D42,0)</f>
        <v>21.825861794615864</v>
      </c>
      <c r="E44" s="25">
        <f t="shared" ref="E44:L44" si="27">IFERROR(E39/E42,0)</f>
        <v>13.381439137267341</v>
      </c>
      <c r="F44" s="25">
        <f t="shared" si="27"/>
        <v>13.699968180910025</v>
      </c>
      <c r="G44" s="25">
        <f t="shared" si="27"/>
        <v>25.556475825654829</v>
      </c>
      <c r="H44" s="25">
        <f t="shared" si="27"/>
        <v>26.094190199427672</v>
      </c>
      <c r="I44" s="25">
        <f t="shared" si="27"/>
        <v>22.080779878380614</v>
      </c>
      <c r="J44" s="25">
        <f t="shared" si="27"/>
        <v>17.804402134547445</v>
      </c>
      <c r="K44" s="25">
        <f t="shared" si="27"/>
        <v>19.520811162350718</v>
      </c>
      <c r="L44" s="25">
        <f t="shared" si="27"/>
        <v>58.200925255332038</v>
      </c>
      <c r="M44" s="25">
        <f t="shared" ref="M44" si="28">IFERROR(M39/M42,0)</f>
        <v>45.165676450592649</v>
      </c>
    </row>
    <row r="45" spans="2:13" x14ac:dyDescent="0.25">
      <c r="B45" s="43" t="s">
        <v>84</v>
      </c>
      <c r="C45" s="43"/>
      <c r="D45" s="43"/>
      <c r="E45" s="44">
        <f>E44/D44-1</f>
        <v>-0.38689985013245365</v>
      </c>
      <c r="F45" s="44">
        <f t="shared" ref="F45:M45" si="29">F44/E44-1</f>
        <v>2.3803795718472465E-2</v>
      </c>
      <c r="G45" s="44">
        <f t="shared" si="29"/>
        <v>0.86544052425362872</v>
      </c>
      <c r="H45" s="44">
        <f t="shared" si="29"/>
        <v>2.1040239563588692E-2</v>
      </c>
      <c r="I45" s="44">
        <f t="shared" si="29"/>
        <v>-0.1538047469714191</v>
      </c>
      <c r="J45" s="44">
        <f t="shared" si="29"/>
        <v>-0.19366968772784099</v>
      </c>
      <c r="K45" s="44">
        <f t="shared" si="29"/>
        <v>9.6403631800293654E-2</v>
      </c>
      <c r="L45" s="44">
        <f t="shared" si="29"/>
        <v>1.9814808806502189</v>
      </c>
      <c r="M45" s="44">
        <f t="shared" si="29"/>
        <v>-0.22396978652062194</v>
      </c>
    </row>
    <row r="47" spans="2:13" x14ac:dyDescent="0.25">
      <c r="B47" s="24" t="s">
        <v>81</v>
      </c>
      <c r="C47" s="24"/>
      <c r="D47" s="25">
        <f>IFERROR(D42/'Data Sheet'!B31,0)</f>
        <v>0.44665632874588096</v>
      </c>
      <c r="E47" s="25">
        <f>IFERROR(E42/'Data Sheet'!C31,0)</f>
        <v>0.4261943531291284</v>
      </c>
      <c r="F47" s="25">
        <f>IFERROR(F42/'Data Sheet'!D31,0)</f>
        <v>0.38033040639423621</v>
      </c>
      <c r="G47" s="25">
        <f>IFERROR(G42/'Data Sheet'!E31,0)</f>
        <v>0.3510631117111036</v>
      </c>
      <c r="H47" s="25">
        <f>IFERROR(H42/'Data Sheet'!F31,0)</f>
        <v>0.32821726309658156</v>
      </c>
      <c r="I47" s="25">
        <f>IFERROR(I42/'Data Sheet'!G31,0)</f>
        <v>0.28103513243932177</v>
      </c>
      <c r="J47" s="25">
        <f>IFERROR(J42/'Data Sheet'!H31,0)</f>
        <v>0.24999630450849963</v>
      </c>
      <c r="K47" s="25">
        <f>IFERROR(K42/'Data Sheet'!I31,0)</f>
        <v>0.22220908463888067</v>
      </c>
      <c r="L47" s="25">
        <f>IFERROR(L42/'Data Sheet'!J31,0)</f>
        <v>0.19999113213124448</v>
      </c>
      <c r="M47" s="25">
        <f>IFERROR(M42/'Data Sheet'!K31,0)</f>
        <v>0.18182355628409427</v>
      </c>
    </row>
    <row r="48" spans="2:13" x14ac:dyDescent="0.25">
      <c r="B48" s="43" t="s">
        <v>82</v>
      </c>
      <c r="C48" s="43"/>
      <c r="D48" s="44">
        <f>IFERROR(D47/D44,0)</f>
        <v>2.046454490315085E-2</v>
      </c>
      <c r="E48" s="44">
        <f t="shared" ref="E48:L48" si="30">IFERROR(E47/E44,0)</f>
        <v>3.1849664954360257E-2</v>
      </c>
      <c r="F48" s="44">
        <f t="shared" si="30"/>
        <v>2.7761408009998212E-2</v>
      </c>
      <c r="G48" s="44">
        <f t="shared" si="30"/>
        <v>1.3736757528934777E-2</v>
      </c>
      <c r="H48" s="44">
        <f t="shared" si="30"/>
        <v>1.2578173937882173E-2</v>
      </c>
      <c r="I48" s="44">
        <f t="shared" si="30"/>
        <v>1.2727590872570785E-2</v>
      </c>
      <c r="J48" s="44">
        <f t="shared" si="30"/>
        <v>1.4041263650376097E-2</v>
      </c>
      <c r="K48" s="44">
        <f t="shared" si="30"/>
        <v>1.1383189089367841E-2</v>
      </c>
      <c r="L48" s="44">
        <f t="shared" si="30"/>
        <v>3.4362191194361198E-3</v>
      </c>
      <c r="M48" s="44">
        <f t="shared" ref="M48" si="31">IFERROR(M47/M44,0)</f>
        <v>4.0257020501617757E-3</v>
      </c>
    </row>
    <row r="50" spans="1:13" x14ac:dyDescent="0.25">
      <c r="B50" s="24" t="s">
        <v>83</v>
      </c>
      <c r="C50" s="24"/>
      <c r="D50" s="46">
        <f>IFERROR(IF(D44&gt;D47,1-D48,0),0)</f>
        <v>0.97953545509684914</v>
      </c>
      <c r="E50" s="46">
        <f t="shared" ref="E50:L50" si="32">IFERROR(IF(E44&gt;E47,1-E48,0),0)</f>
        <v>0.96815033504563974</v>
      </c>
      <c r="F50" s="46">
        <f t="shared" si="32"/>
        <v>0.97223859199000184</v>
      </c>
      <c r="G50" s="46">
        <f t="shared" si="32"/>
        <v>0.98626324247106523</v>
      </c>
      <c r="H50" s="46">
        <f t="shared" si="32"/>
        <v>0.98742182606211781</v>
      </c>
      <c r="I50" s="46">
        <f t="shared" si="32"/>
        <v>0.9872724091274292</v>
      </c>
      <c r="J50" s="46">
        <f t="shared" si="32"/>
        <v>0.98595873634962394</v>
      </c>
      <c r="K50" s="46">
        <f t="shared" si="32"/>
        <v>0.98861681091063214</v>
      </c>
      <c r="L50" s="46">
        <f t="shared" si="32"/>
        <v>0.99656378088056385</v>
      </c>
      <c r="M50" s="46">
        <f t="shared" ref="M50" si="33">IFERROR(IF(M44&gt;M47,1-M48,0),0)</f>
        <v>0.99597429794983827</v>
      </c>
    </row>
    <row r="52" spans="1:13" x14ac:dyDescent="0.25">
      <c r="A52" t="s">
        <v>66</v>
      </c>
      <c r="B52" s="12" t="s">
        <v>85</v>
      </c>
      <c r="C52" s="11"/>
      <c r="D52" s="11"/>
      <c r="E52" s="11"/>
      <c r="F52" s="11"/>
      <c r="G52" s="11"/>
      <c r="H52" s="11"/>
      <c r="I52" s="11"/>
      <c r="J52" s="11"/>
      <c r="K52" s="11"/>
      <c r="L52" s="11"/>
      <c r="M52" s="11"/>
    </row>
    <row r="53" spans="1:13" x14ac:dyDescent="0.25">
      <c r="B53" s="22" t="str">
        <f>'Data Sheet'!A57</f>
        <v>Equity Share Capital</v>
      </c>
      <c r="D53" s="23">
        <f>'Data Sheet'!B57</f>
        <v>2948</v>
      </c>
      <c r="E53" s="23">
        <f>'Data Sheet'!C57</f>
        <v>2959</v>
      </c>
      <c r="F53" s="23">
        <f>'Data Sheet'!D57</f>
        <v>5922</v>
      </c>
      <c r="G53" s="23">
        <f>'Data Sheet'!E57</f>
        <v>5926</v>
      </c>
      <c r="H53" s="23">
        <f>'Data Sheet'!F57</f>
        <v>6339</v>
      </c>
      <c r="I53" s="23">
        <f>'Data Sheet'!G57</f>
        <v>6445</v>
      </c>
      <c r="J53" s="23">
        <f>'Data Sheet'!H57</f>
        <v>6765</v>
      </c>
      <c r="K53" s="23">
        <f>'Data Sheet'!I57</f>
        <v>6766</v>
      </c>
      <c r="L53" s="23">
        <f>'Data Sheet'!J57</f>
        <v>6766</v>
      </c>
      <c r="M53" s="23">
        <f>'Data Sheet'!K57</f>
        <v>13532</v>
      </c>
    </row>
    <row r="54" spans="1:13" x14ac:dyDescent="0.25">
      <c r="B54" s="22" t="str">
        <f>'Data Sheet'!A58</f>
        <v>Reserves</v>
      </c>
      <c r="D54" s="23">
        <f>'Data Sheet'!B58</f>
        <v>228608</v>
      </c>
      <c r="E54" s="23">
        <f>'Data Sheet'!C58</f>
        <v>260750</v>
      </c>
      <c r="F54" s="23">
        <f>'Data Sheet'!D58</f>
        <v>287584</v>
      </c>
      <c r="G54" s="23">
        <f>'Data Sheet'!E58</f>
        <v>381186</v>
      </c>
      <c r="H54" s="23">
        <f>'Data Sheet'!F58</f>
        <v>442827</v>
      </c>
      <c r="I54" s="23">
        <f>'Data Sheet'!G58</f>
        <v>693727</v>
      </c>
      <c r="J54" s="23">
        <f>'Data Sheet'!H58</f>
        <v>772720</v>
      </c>
      <c r="K54" s="23">
        <f>'Data Sheet'!I58</f>
        <v>709106</v>
      </c>
      <c r="L54" s="23">
        <f>'Data Sheet'!J58</f>
        <v>786715</v>
      </c>
      <c r="M54" s="23">
        <f>'Data Sheet'!K58</f>
        <v>829668</v>
      </c>
    </row>
    <row r="55" spans="1:13" x14ac:dyDescent="0.25">
      <c r="B55" s="22" t="str">
        <f>'Data Sheet'!A59</f>
        <v>Borrowings</v>
      </c>
      <c r="D55" s="23">
        <f>'Data Sheet'!B59</f>
        <v>194714</v>
      </c>
      <c r="E55" s="23">
        <f>'Data Sheet'!C59</f>
        <v>217475</v>
      </c>
      <c r="F55" s="23">
        <f>'Data Sheet'!D59</f>
        <v>239843</v>
      </c>
      <c r="G55" s="23">
        <f>'Data Sheet'!E59</f>
        <v>307714</v>
      </c>
      <c r="H55" s="23">
        <f>'Data Sheet'!F59</f>
        <v>355133</v>
      </c>
      <c r="I55" s="23">
        <f>'Data Sheet'!G59</f>
        <v>278962</v>
      </c>
      <c r="J55" s="23">
        <f>'Data Sheet'!H59</f>
        <v>319158</v>
      </c>
      <c r="K55" s="23">
        <f>'Data Sheet'!I59</f>
        <v>451664</v>
      </c>
      <c r="L55" s="23">
        <f>'Data Sheet'!J59</f>
        <v>458991</v>
      </c>
      <c r="M55" s="23">
        <f>'Data Sheet'!K59</f>
        <v>369575</v>
      </c>
    </row>
    <row r="56" spans="1:13" x14ac:dyDescent="0.25">
      <c r="B56" s="22" t="str">
        <f>'Data Sheet'!A60</f>
        <v>Other Liabilities</v>
      </c>
      <c r="D56" s="23">
        <f>'Data Sheet'!B60</f>
        <v>172727</v>
      </c>
      <c r="E56" s="23">
        <f>'Data Sheet'!C60</f>
        <v>225618</v>
      </c>
      <c r="F56" s="23">
        <f>'Data Sheet'!D60</f>
        <v>277924</v>
      </c>
      <c r="G56" s="23">
        <f>'Data Sheet'!E60</f>
        <v>302804</v>
      </c>
      <c r="H56" s="23">
        <f>'Data Sheet'!F60</f>
        <v>358716</v>
      </c>
      <c r="I56" s="23">
        <f>'Data Sheet'!G60</f>
        <v>340931</v>
      </c>
      <c r="J56" s="23">
        <f>'Data Sheet'!H60</f>
        <v>399979</v>
      </c>
      <c r="K56" s="23">
        <f>'Data Sheet'!I60</f>
        <v>438346</v>
      </c>
      <c r="L56" s="23">
        <f>'Data Sheet'!J60</f>
        <v>502576</v>
      </c>
      <c r="M56" s="23">
        <f>'Data Sheet'!K60</f>
        <v>737346</v>
      </c>
    </row>
    <row r="57" spans="1:13" x14ac:dyDescent="0.25">
      <c r="B57" s="26" t="s">
        <v>86</v>
      </c>
      <c r="C57" s="27"/>
      <c r="D57" s="28">
        <f>'Data Sheet'!B61</f>
        <v>598997</v>
      </c>
      <c r="E57" s="28">
        <f>'Data Sheet'!C61</f>
        <v>706802</v>
      </c>
      <c r="F57" s="28">
        <f>'Data Sheet'!D61</f>
        <v>811273</v>
      </c>
      <c r="G57" s="28">
        <f>'Data Sheet'!E61</f>
        <v>997630</v>
      </c>
      <c r="H57" s="28">
        <f>'Data Sheet'!F61</f>
        <v>1163015</v>
      </c>
      <c r="I57" s="28">
        <f>'Data Sheet'!G61</f>
        <v>1320065</v>
      </c>
      <c r="J57" s="28">
        <f>'Data Sheet'!H61</f>
        <v>1498622</v>
      </c>
      <c r="K57" s="28">
        <f>'Data Sheet'!I61</f>
        <v>1605882</v>
      </c>
      <c r="L57" s="28">
        <f>'Data Sheet'!J61</f>
        <v>1755048</v>
      </c>
      <c r="M57" s="28">
        <f>'Data Sheet'!K61</f>
        <v>1950121</v>
      </c>
    </row>
    <row r="58" spans="1:13" x14ac:dyDescent="0.25">
      <c r="B58" s="29"/>
      <c r="C58" s="2"/>
      <c r="D58" s="30"/>
      <c r="E58" s="30"/>
      <c r="F58" s="30"/>
      <c r="G58" s="30"/>
      <c r="H58" s="30"/>
      <c r="I58" s="30"/>
      <c r="J58" s="30"/>
      <c r="K58" s="30"/>
      <c r="L58" s="30"/>
      <c r="M58" s="30"/>
    </row>
    <row r="59" spans="1:13" x14ac:dyDescent="0.25">
      <c r="B59" s="22" t="str">
        <f>'Data Sheet'!A62</f>
        <v>Net Block</v>
      </c>
      <c r="D59" s="32">
        <f>'Data Sheet'!B62</f>
        <v>184910</v>
      </c>
      <c r="E59" s="32">
        <f>'Data Sheet'!C62</f>
        <v>198526</v>
      </c>
      <c r="F59" s="32">
        <f>'Data Sheet'!D62</f>
        <v>403885</v>
      </c>
      <c r="G59" s="32">
        <f>'Data Sheet'!E62</f>
        <v>398374</v>
      </c>
      <c r="H59" s="32">
        <f>'Data Sheet'!F62</f>
        <v>532658</v>
      </c>
      <c r="I59" s="32">
        <f>'Data Sheet'!G62</f>
        <v>541258</v>
      </c>
      <c r="J59" s="32">
        <f>'Data Sheet'!H62</f>
        <v>627798</v>
      </c>
      <c r="K59" s="32">
        <f>'Data Sheet'!I62</f>
        <v>724805</v>
      </c>
      <c r="L59" s="32">
        <f>'Data Sheet'!J62</f>
        <v>779985</v>
      </c>
      <c r="M59" s="32">
        <f>'Data Sheet'!K62</f>
        <v>1092041</v>
      </c>
    </row>
    <row r="60" spans="1:13" x14ac:dyDescent="0.25">
      <c r="B60" s="22" t="str">
        <f>'Data Sheet'!A63</f>
        <v>Capital Work in Progress</v>
      </c>
      <c r="D60" s="32">
        <f>'Data Sheet'!B63</f>
        <v>228697</v>
      </c>
      <c r="E60" s="32">
        <f>'Data Sheet'!C63</f>
        <v>324837</v>
      </c>
      <c r="F60" s="32">
        <f>'Data Sheet'!D63</f>
        <v>187022</v>
      </c>
      <c r="G60" s="32">
        <f>'Data Sheet'!E63</f>
        <v>179463</v>
      </c>
      <c r="H60" s="32">
        <f>'Data Sheet'!F63</f>
        <v>109106</v>
      </c>
      <c r="I60" s="32">
        <f>'Data Sheet'!G63</f>
        <v>125953</v>
      </c>
      <c r="J60" s="32">
        <f>'Data Sheet'!H63</f>
        <v>172506</v>
      </c>
      <c r="K60" s="32">
        <f>'Data Sheet'!I63</f>
        <v>293752</v>
      </c>
      <c r="L60" s="32">
        <f>'Data Sheet'!J63</f>
        <v>338855</v>
      </c>
      <c r="M60" s="32">
        <f>'Data Sheet'!K63</f>
        <v>169710</v>
      </c>
    </row>
    <row r="61" spans="1:13" x14ac:dyDescent="0.25">
      <c r="B61" s="22" t="str">
        <f>'Data Sheet'!A64</f>
        <v>Investments</v>
      </c>
      <c r="D61" s="32">
        <f>'Data Sheet'!B64</f>
        <v>84015</v>
      </c>
      <c r="E61" s="32">
        <f>'Data Sheet'!C64</f>
        <v>82899</v>
      </c>
      <c r="F61" s="32">
        <f>'Data Sheet'!D64</f>
        <v>82862</v>
      </c>
      <c r="G61" s="32">
        <f>'Data Sheet'!E64</f>
        <v>235635</v>
      </c>
      <c r="H61" s="32">
        <f>'Data Sheet'!F64</f>
        <v>276767</v>
      </c>
      <c r="I61" s="32">
        <f>'Data Sheet'!G64</f>
        <v>364828</v>
      </c>
      <c r="J61" s="32">
        <f>'Data Sheet'!H64</f>
        <v>394264</v>
      </c>
      <c r="K61" s="32">
        <f>'Data Sheet'!I64</f>
        <v>235560</v>
      </c>
      <c r="L61" s="32">
        <f>'Data Sheet'!J64</f>
        <v>225672</v>
      </c>
      <c r="M61" s="32">
        <f>'Data Sheet'!K64</f>
        <v>242381</v>
      </c>
    </row>
    <row r="62" spans="1:13" x14ac:dyDescent="0.25">
      <c r="B62" s="22" t="str">
        <f>'Data Sheet'!A65</f>
        <v>Other Assets</v>
      </c>
      <c r="D62" s="32">
        <f>'Data Sheet'!B65-SUM(D65:D67)</f>
        <v>39396</v>
      </c>
      <c r="E62" s="32">
        <f>'Data Sheet'!C65-SUM(E65:E67)</f>
        <v>40389</v>
      </c>
      <c r="F62" s="32">
        <f>'Data Sheet'!D65-SUM(F65:F67)</f>
        <v>54857</v>
      </c>
      <c r="G62" s="32">
        <f>'Data Sheet'!E65-SUM(G65:G67)</f>
        <v>75427</v>
      </c>
      <c r="H62" s="32">
        <f>'Data Sheet'!F65-SUM(H65:H67)</f>
        <v>120005</v>
      </c>
      <c r="I62" s="32">
        <f>'Data Sheet'!G65-SUM(I65:I67)</f>
        <v>169943</v>
      </c>
      <c r="J62" s="32">
        <f>'Data Sheet'!H65-SUM(J65:J67)</f>
        <v>136458</v>
      </c>
      <c r="K62" s="32">
        <f>'Data Sheet'!I65-SUM(K65:K67)</f>
        <v>114645</v>
      </c>
      <c r="L62" s="32">
        <f>'Data Sheet'!J65-SUM(L65:L67)</f>
        <v>128913</v>
      </c>
      <c r="M62" s="32">
        <f>'Data Sheet'!K65-SUM(M65:M67)</f>
        <v>151304</v>
      </c>
    </row>
    <row r="63" spans="1:13" x14ac:dyDescent="0.25">
      <c r="B63" s="26" t="s">
        <v>88</v>
      </c>
      <c r="C63" s="27"/>
      <c r="D63" s="28">
        <f>SUM(D59:D62)</f>
        <v>537018</v>
      </c>
      <c r="E63" s="28">
        <f t="shared" ref="E63:L63" si="34">SUM(E59:E62)</f>
        <v>646651</v>
      </c>
      <c r="F63" s="28">
        <f t="shared" si="34"/>
        <v>728626</v>
      </c>
      <c r="G63" s="28">
        <f t="shared" si="34"/>
        <v>888899</v>
      </c>
      <c r="H63" s="28">
        <f t="shared" si="34"/>
        <v>1038536</v>
      </c>
      <c r="I63" s="28">
        <f t="shared" si="34"/>
        <v>1201982</v>
      </c>
      <c r="J63" s="28">
        <f t="shared" si="34"/>
        <v>1331026</v>
      </c>
      <c r="K63" s="28">
        <f t="shared" si="34"/>
        <v>1368762</v>
      </c>
      <c r="L63" s="28">
        <f t="shared" si="34"/>
        <v>1473425</v>
      </c>
      <c r="M63" s="28">
        <f t="shared" ref="M63" si="35">SUM(M59:M62)</f>
        <v>1655436</v>
      </c>
    </row>
    <row r="64" spans="1:13" x14ac:dyDescent="0.25">
      <c r="B64" s="22"/>
    </row>
    <row r="65" spans="1:13" x14ac:dyDescent="0.25">
      <c r="B65" s="22" t="str">
        <f>'Data Sheet'!A67</f>
        <v>Receivables</v>
      </c>
      <c r="D65" s="32">
        <f>'Data Sheet'!B67</f>
        <v>4465</v>
      </c>
      <c r="E65" s="32">
        <f>'Data Sheet'!C67</f>
        <v>8177</v>
      </c>
      <c r="F65" s="32">
        <f>'Data Sheet'!D67</f>
        <v>17555</v>
      </c>
      <c r="G65" s="32">
        <f>'Data Sheet'!E67</f>
        <v>30089</v>
      </c>
      <c r="H65" s="32">
        <f>'Data Sheet'!F67</f>
        <v>19656</v>
      </c>
      <c r="I65" s="32">
        <f>'Data Sheet'!G67</f>
        <v>19014</v>
      </c>
      <c r="J65" s="32">
        <f>'Data Sheet'!H67</f>
        <v>23640</v>
      </c>
      <c r="K65" s="32">
        <f>'Data Sheet'!I67</f>
        <v>28448</v>
      </c>
      <c r="L65" s="32">
        <f>'Data Sheet'!J67</f>
        <v>31628</v>
      </c>
      <c r="M65" s="32">
        <f>'Data Sheet'!K67</f>
        <v>42121</v>
      </c>
    </row>
    <row r="66" spans="1:13" x14ac:dyDescent="0.25">
      <c r="B66" s="22" t="str">
        <f>'Data Sheet'!A68</f>
        <v>Inventory</v>
      </c>
      <c r="D66" s="32">
        <f>'Data Sheet'!B68</f>
        <v>46486</v>
      </c>
      <c r="E66" s="32">
        <f>'Data Sheet'!C68</f>
        <v>48951</v>
      </c>
      <c r="F66" s="32">
        <f>'Data Sheet'!D68</f>
        <v>60837</v>
      </c>
      <c r="G66" s="32">
        <f>'Data Sheet'!E68</f>
        <v>67561</v>
      </c>
      <c r="H66" s="32">
        <f>'Data Sheet'!F68</f>
        <v>73903</v>
      </c>
      <c r="I66" s="32">
        <f>'Data Sheet'!G68</f>
        <v>81672</v>
      </c>
      <c r="J66" s="32">
        <f>'Data Sheet'!H68</f>
        <v>107778</v>
      </c>
      <c r="K66" s="32">
        <f>'Data Sheet'!I68</f>
        <v>140008</v>
      </c>
      <c r="L66" s="32">
        <f>'Data Sheet'!J68</f>
        <v>152770</v>
      </c>
      <c r="M66" s="32">
        <f>'Data Sheet'!K68</f>
        <v>146062</v>
      </c>
    </row>
    <row r="67" spans="1:13" x14ac:dyDescent="0.25">
      <c r="B67" s="22" t="str">
        <f>'Data Sheet'!A69</f>
        <v>Cash &amp; Bank</v>
      </c>
      <c r="D67" s="32">
        <f>'Data Sheet'!B69</f>
        <v>11028</v>
      </c>
      <c r="E67" s="32">
        <f>'Data Sheet'!C69</f>
        <v>3023</v>
      </c>
      <c r="F67" s="32">
        <f>'Data Sheet'!D69</f>
        <v>4255</v>
      </c>
      <c r="G67" s="32">
        <f>'Data Sheet'!E69</f>
        <v>11081</v>
      </c>
      <c r="H67" s="32">
        <f>'Data Sheet'!F69</f>
        <v>30920</v>
      </c>
      <c r="I67" s="32">
        <f>'Data Sheet'!G69</f>
        <v>17397</v>
      </c>
      <c r="J67" s="32">
        <f>'Data Sheet'!H69</f>
        <v>36178</v>
      </c>
      <c r="K67" s="32">
        <f>'Data Sheet'!I69</f>
        <v>68664</v>
      </c>
      <c r="L67" s="32">
        <f>'Data Sheet'!J69</f>
        <v>97225</v>
      </c>
      <c r="M67" s="32">
        <f>'Data Sheet'!K69</f>
        <v>106502</v>
      </c>
    </row>
    <row r="68" spans="1:13" x14ac:dyDescent="0.25">
      <c r="B68" s="26" t="s">
        <v>89</v>
      </c>
      <c r="C68" s="27"/>
      <c r="D68" s="28">
        <f>SUM(D65:D67)</f>
        <v>61979</v>
      </c>
      <c r="E68" s="28">
        <f t="shared" ref="E68:L68" si="36">SUM(E65:E67)</f>
        <v>60151</v>
      </c>
      <c r="F68" s="28">
        <f t="shared" si="36"/>
        <v>82647</v>
      </c>
      <c r="G68" s="28">
        <f t="shared" si="36"/>
        <v>108731</v>
      </c>
      <c r="H68" s="28">
        <f t="shared" si="36"/>
        <v>124479</v>
      </c>
      <c r="I68" s="28">
        <f t="shared" si="36"/>
        <v>118083</v>
      </c>
      <c r="J68" s="28">
        <f t="shared" si="36"/>
        <v>167596</v>
      </c>
      <c r="K68" s="28">
        <f t="shared" si="36"/>
        <v>237120</v>
      </c>
      <c r="L68" s="28">
        <f t="shared" si="36"/>
        <v>281623</v>
      </c>
      <c r="M68" s="28">
        <f t="shared" ref="M68" si="37">SUM(M65:M67)</f>
        <v>294685</v>
      </c>
    </row>
    <row r="70" spans="1:13" x14ac:dyDescent="0.25">
      <c r="B70" s="27" t="s">
        <v>87</v>
      </c>
      <c r="C70" s="27"/>
      <c r="D70" s="28">
        <f>D68+D63</f>
        <v>598997</v>
      </c>
      <c r="E70" s="28">
        <f t="shared" ref="E70:L70" si="38">E68+E63</f>
        <v>706802</v>
      </c>
      <c r="F70" s="28">
        <f t="shared" si="38"/>
        <v>811273</v>
      </c>
      <c r="G70" s="28">
        <f t="shared" si="38"/>
        <v>997630</v>
      </c>
      <c r="H70" s="28">
        <f t="shared" si="38"/>
        <v>1163015</v>
      </c>
      <c r="I70" s="28">
        <f t="shared" si="38"/>
        <v>1320065</v>
      </c>
      <c r="J70" s="28">
        <f t="shared" si="38"/>
        <v>1498622</v>
      </c>
      <c r="K70" s="28">
        <f t="shared" si="38"/>
        <v>1605882</v>
      </c>
      <c r="L70" s="28">
        <f t="shared" si="38"/>
        <v>1755048</v>
      </c>
      <c r="M70" s="28">
        <f t="shared" ref="M70" si="39">M68+M63</f>
        <v>1950121</v>
      </c>
    </row>
    <row r="72" spans="1:13" x14ac:dyDescent="0.25">
      <c r="B72" s="31" t="s">
        <v>90</v>
      </c>
      <c r="C72" s="31"/>
      <c r="D72" s="31" t="b">
        <f>D70=D57</f>
        <v>1</v>
      </c>
      <c r="E72" s="31" t="b">
        <f t="shared" ref="E72:L72" si="40">E70=E57</f>
        <v>1</v>
      </c>
      <c r="F72" s="31" t="b">
        <f t="shared" si="40"/>
        <v>1</v>
      </c>
      <c r="G72" s="31" t="b">
        <f t="shared" si="40"/>
        <v>1</v>
      </c>
      <c r="H72" s="31" t="b">
        <f t="shared" si="40"/>
        <v>1</v>
      </c>
      <c r="I72" s="31" t="b">
        <f t="shared" si="40"/>
        <v>1</v>
      </c>
      <c r="J72" s="31" t="b">
        <f t="shared" si="40"/>
        <v>1</v>
      </c>
      <c r="K72" s="31" t="b">
        <f t="shared" si="40"/>
        <v>1</v>
      </c>
      <c r="L72" s="31" t="b">
        <f t="shared" si="40"/>
        <v>1</v>
      </c>
      <c r="M72" s="31" t="b">
        <f t="shared" ref="M72" si="41">M70=M57</f>
        <v>1</v>
      </c>
    </row>
    <row r="73" spans="1:13" x14ac:dyDescent="0.25">
      <c r="B73" s="31"/>
      <c r="C73" s="31"/>
      <c r="D73" s="31"/>
      <c r="E73" s="31"/>
      <c r="F73" s="31"/>
      <c r="G73" s="31"/>
      <c r="H73" s="31"/>
      <c r="I73" s="31"/>
      <c r="J73" s="31"/>
      <c r="K73" s="31"/>
      <c r="L73" s="31"/>
      <c r="M73" s="31"/>
    </row>
    <row r="74" spans="1:13" x14ac:dyDescent="0.25">
      <c r="B74" s="31"/>
      <c r="C74" s="31"/>
      <c r="D74" s="31"/>
      <c r="E74" s="31"/>
      <c r="F74" s="31"/>
      <c r="G74" s="31"/>
      <c r="H74" s="31"/>
      <c r="I74" s="31"/>
      <c r="J74" s="31"/>
      <c r="K74" s="31"/>
      <c r="L74" s="31"/>
      <c r="M74" s="31"/>
    </row>
    <row r="75" spans="1:13" x14ac:dyDescent="0.25">
      <c r="B75" s="31"/>
      <c r="C75" s="31"/>
      <c r="D75" s="31"/>
      <c r="E75" s="31"/>
      <c r="F75" s="31"/>
      <c r="G75" s="31"/>
      <c r="H75" s="31"/>
      <c r="I75" s="31"/>
      <c r="J75" s="31"/>
      <c r="K75" s="31"/>
      <c r="L75" s="31"/>
      <c r="M75" s="31"/>
    </row>
    <row r="76" spans="1:13" x14ac:dyDescent="0.25">
      <c r="B76" s="31"/>
      <c r="C76" s="31"/>
      <c r="D76" s="31"/>
      <c r="E76" s="31"/>
      <c r="F76" s="31"/>
      <c r="G76" s="31"/>
      <c r="H76" s="31"/>
      <c r="I76" s="31"/>
      <c r="J76" s="31"/>
      <c r="K76" s="31"/>
      <c r="L76" s="31"/>
      <c r="M76" s="31"/>
    </row>
    <row r="78" spans="1:13" x14ac:dyDescent="0.25">
      <c r="A78" t="s">
        <v>66</v>
      </c>
      <c r="B78" s="12" t="s">
        <v>91</v>
      </c>
      <c r="C78" s="11"/>
      <c r="D78" s="11"/>
      <c r="E78" s="11"/>
      <c r="F78" s="11"/>
      <c r="G78" s="11"/>
      <c r="H78" s="11"/>
      <c r="I78" s="11"/>
      <c r="J78" s="11"/>
      <c r="K78" s="11"/>
      <c r="L78" s="11"/>
      <c r="M78" s="11"/>
    </row>
    <row r="80" spans="1:13" x14ac:dyDescent="0.25">
      <c r="B80" s="35" t="s">
        <v>18</v>
      </c>
      <c r="C80" s="36"/>
      <c r="D80" s="36"/>
      <c r="E80" s="36"/>
      <c r="F80" s="36"/>
      <c r="G80" s="36"/>
      <c r="H80" s="36"/>
      <c r="I80" s="36"/>
      <c r="J80" s="36"/>
      <c r="K80" s="36"/>
      <c r="L80" s="36"/>
      <c r="M80" s="36"/>
    </row>
    <row r="81" spans="2:13" x14ac:dyDescent="0.25">
      <c r="B81" t="s">
        <v>92</v>
      </c>
      <c r="D81" s="34">
        <f>'cash Flow'!E4</f>
        <v>36629</v>
      </c>
      <c r="E81" s="34">
        <f>'cash Flow'!F4</f>
        <v>41477</v>
      </c>
      <c r="F81" s="34">
        <f>'cash Flow'!G4</f>
        <v>50083</v>
      </c>
      <c r="G81" s="34">
        <f>'cash Flow'!H4</f>
        <v>57903</v>
      </c>
      <c r="H81" s="34">
        <f>'cash Flow'!I4</f>
        <v>49256</v>
      </c>
      <c r="I81" s="34">
        <f>'cash Flow'!J4</f>
        <v>33186</v>
      </c>
      <c r="J81" s="34">
        <f>'cash Flow'!K4</f>
        <v>55134</v>
      </c>
      <c r="K81" s="34">
        <f>'cash Flow'!L4</f>
        <v>66311</v>
      </c>
      <c r="L81" s="34">
        <f>'cash Flow'!M4</f>
        <v>75419</v>
      </c>
      <c r="M81" s="34">
        <f>'cash Flow'!N4</f>
        <v>58924</v>
      </c>
    </row>
    <row r="82" spans="2:13" x14ac:dyDescent="0.25">
      <c r="B82" t="s">
        <v>45</v>
      </c>
      <c r="D82" s="34">
        <f>'cash Flow'!E5</f>
        <v>220</v>
      </c>
      <c r="E82" s="34">
        <f>'cash Flow'!F5</f>
        <v>-1857</v>
      </c>
      <c r="F82" s="34">
        <f>'cash Flow'!G5</f>
        <v>-11397</v>
      </c>
      <c r="G82" s="34">
        <f>'cash Flow'!H5</f>
        <v>-24011</v>
      </c>
      <c r="H82" s="34">
        <f>'cash Flow'!I5</f>
        <v>5050</v>
      </c>
      <c r="I82" s="34">
        <f>'cash Flow'!J5</f>
        <v>2781</v>
      </c>
      <c r="J82" s="34">
        <f>'cash Flow'!K5</f>
        <v>-12639</v>
      </c>
      <c r="K82" s="34">
        <f>'cash Flow'!L5</f>
        <v>-3068</v>
      </c>
      <c r="L82" s="34">
        <f>'cash Flow'!M5</f>
        <v>9930</v>
      </c>
      <c r="M82" s="34">
        <f>'cash Flow'!N5</f>
        <v>3209</v>
      </c>
    </row>
    <row r="83" spans="2:13" x14ac:dyDescent="0.25">
      <c r="B83" t="s">
        <v>30</v>
      </c>
      <c r="D83" s="34">
        <f>'cash Flow'!E6</f>
        <v>8517</v>
      </c>
      <c r="E83" s="34">
        <f>'cash Flow'!F6</f>
        <v>-5984</v>
      </c>
      <c r="F83" s="34">
        <f>'cash Flow'!G6</f>
        <v>-5550</v>
      </c>
      <c r="G83" s="34">
        <f>'cash Flow'!H6</f>
        <v>-4575</v>
      </c>
      <c r="H83" s="34">
        <f>'cash Flow'!I6</f>
        <v>5342</v>
      </c>
      <c r="I83" s="34">
        <f>'cash Flow'!J6</f>
        <v>1365</v>
      </c>
      <c r="J83" s="34">
        <f>'cash Flow'!K6</f>
        <v>-9337</v>
      </c>
      <c r="K83" s="34">
        <f>'cash Flow'!L6</f>
        <v>-2938</v>
      </c>
      <c r="L83" s="34">
        <f>'cash Flow'!M6</f>
        <v>-344</v>
      </c>
      <c r="M83" s="34">
        <f>'cash Flow'!N6</f>
        <v>-4116</v>
      </c>
    </row>
    <row r="84" spans="2:13" x14ac:dyDescent="0.25">
      <c r="B84" t="s">
        <v>93</v>
      </c>
      <c r="D84" s="34">
        <f>'cash Flow'!E7</f>
        <v>6210</v>
      </c>
      <c r="E84" s="34">
        <f>'cash Flow'!F7</f>
        <v>27374</v>
      </c>
      <c r="F84" s="34">
        <f>'cash Flow'!G7</f>
        <v>37479</v>
      </c>
      <c r="G84" s="34">
        <f>'cash Flow'!H7</f>
        <v>9300</v>
      </c>
      <c r="H84" s="34">
        <f>'cash Flow'!I7</f>
        <v>23139</v>
      </c>
      <c r="I84" s="34">
        <f>'cash Flow'!J7</f>
        <v>-36154</v>
      </c>
      <c r="J84" s="34">
        <f>'cash Flow'!K7</f>
        <v>35796</v>
      </c>
      <c r="K84" s="34">
        <f>'cash Flow'!L7</f>
        <v>-36</v>
      </c>
      <c r="L84" s="34">
        <f>'cash Flow'!M7</f>
        <v>-1761</v>
      </c>
      <c r="M84" s="34">
        <f>'cash Flow'!N7</f>
        <v>30536</v>
      </c>
    </row>
    <row r="85" spans="2:13" x14ac:dyDescent="0.25">
      <c r="B85" t="s">
        <v>94</v>
      </c>
      <c r="D85" s="34">
        <f>'cash Flow'!E8</f>
        <v>14947</v>
      </c>
      <c r="E85" s="34">
        <f>'cash Flow'!F8</f>
        <v>19533</v>
      </c>
      <c r="F85" s="34">
        <f>'cash Flow'!G8</f>
        <v>20532</v>
      </c>
      <c r="G85" s="34">
        <f>'cash Flow'!H8</f>
        <v>-19286</v>
      </c>
      <c r="H85" s="34">
        <f>'cash Flow'!I8</f>
        <v>33531</v>
      </c>
      <c r="I85" s="34">
        <f>'cash Flow'!J8</f>
        <v>-32008</v>
      </c>
      <c r="J85" s="34">
        <f>'cash Flow'!K8</f>
        <v>13820</v>
      </c>
      <c r="K85" s="34">
        <f>'cash Flow'!L8</f>
        <v>-6042</v>
      </c>
      <c r="L85" s="34">
        <f>'cash Flow'!M8</f>
        <v>7825</v>
      </c>
      <c r="M85" s="34">
        <f>'cash Flow'!N8</f>
        <v>29629</v>
      </c>
    </row>
    <row r="86" spans="2:13" x14ac:dyDescent="0.25">
      <c r="B86" t="s">
        <v>95</v>
      </c>
      <c r="D86" s="34">
        <f>'cash Flow'!E9</f>
        <v>-8129</v>
      </c>
      <c r="E86" s="34">
        <f>'cash Flow'!F9</f>
        <v>-9560</v>
      </c>
      <c r="F86" s="34">
        <f>'cash Flow'!G9</f>
        <v>-8615</v>
      </c>
      <c r="G86" s="34">
        <f>'cash Flow'!H9</f>
        <v>-9426</v>
      </c>
      <c r="H86" s="34">
        <f>'cash Flow'!I9</f>
        <v>-5254</v>
      </c>
      <c r="I86" s="34">
        <f>'cash Flow'!J9</f>
        <v>-1690</v>
      </c>
      <c r="J86" s="34">
        <f>'cash Flow'!K9</f>
        <v>-1463</v>
      </c>
      <c r="K86" s="34">
        <f>'cash Flow'!L9</f>
        <v>-4929</v>
      </c>
      <c r="L86" s="34">
        <f>'cash Flow'!M9</f>
        <v>-9246</v>
      </c>
      <c r="M86" s="34">
        <f>'cash Flow'!N9</f>
        <v>-9161</v>
      </c>
    </row>
    <row r="87" spans="2:13" ht="15.75" thickBot="1" x14ac:dyDescent="0.3">
      <c r="B87" s="39" t="s">
        <v>118</v>
      </c>
      <c r="C87" s="40"/>
      <c r="D87" s="41">
        <f>D81+D85+D86</f>
        <v>43447</v>
      </c>
      <c r="E87" s="41">
        <f t="shared" ref="E87:L87" si="42">E81+E85+E86</f>
        <v>51450</v>
      </c>
      <c r="F87" s="41">
        <f t="shared" si="42"/>
        <v>62000</v>
      </c>
      <c r="G87" s="41">
        <f t="shared" si="42"/>
        <v>29191</v>
      </c>
      <c r="H87" s="41">
        <f t="shared" si="42"/>
        <v>77533</v>
      </c>
      <c r="I87" s="41">
        <f t="shared" si="42"/>
        <v>-512</v>
      </c>
      <c r="J87" s="41">
        <f t="shared" si="42"/>
        <v>67491</v>
      </c>
      <c r="K87" s="41">
        <f t="shared" si="42"/>
        <v>55340</v>
      </c>
      <c r="L87" s="41">
        <f t="shared" si="42"/>
        <v>73998</v>
      </c>
      <c r="M87" s="41">
        <f t="shared" ref="M87" si="43">M81+M85+M86</f>
        <v>79392</v>
      </c>
    </row>
    <row r="88" spans="2:13" x14ac:dyDescent="0.25">
      <c r="B88" s="5"/>
      <c r="D88" s="23"/>
      <c r="E88" s="23"/>
      <c r="F88" s="23"/>
      <c r="G88" s="23"/>
      <c r="H88" s="23"/>
      <c r="I88" s="23"/>
      <c r="J88" s="23"/>
      <c r="K88" s="23"/>
      <c r="L88" s="23"/>
      <c r="M88" s="23"/>
    </row>
    <row r="89" spans="2:13" x14ac:dyDescent="0.25">
      <c r="B89" s="37" t="s">
        <v>19</v>
      </c>
      <c r="C89" s="36"/>
      <c r="D89" s="38"/>
      <c r="E89" s="38"/>
      <c r="F89" s="38"/>
      <c r="G89" s="38"/>
      <c r="H89" s="38"/>
      <c r="I89" s="38"/>
      <c r="J89" s="38"/>
      <c r="K89" s="38"/>
      <c r="L89" s="38"/>
      <c r="M89" s="38"/>
    </row>
    <row r="90" spans="2:13" x14ac:dyDescent="0.25">
      <c r="B90" t="s">
        <v>96</v>
      </c>
      <c r="D90" s="32">
        <f>'cash Flow'!E12</f>
        <v>-20216</v>
      </c>
      <c r="E90" s="32">
        <f>'cash Flow'!F12</f>
        <v>-30266</v>
      </c>
      <c r="F90" s="32">
        <f>'cash Flow'!G12</f>
        <v>-24700</v>
      </c>
      <c r="G90" s="32">
        <f>'cash Flow'!H12</f>
        <v>-24971</v>
      </c>
      <c r="H90" s="32">
        <f>'cash Flow'!I12</f>
        <v>-23183</v>
      </c>
      <c r="I90" s="32">
        <f>'cash Flow'!J12</f>
        <v>-21755</v>
      </c>
      <c r="J90" s="32">
        <f>'cash Flow'!K12</f>
        <v>-18149</v>
      </c>
      <c r="K90" s="32">
        <f>'cash Flow'!L12</f>
        <v>-29324</v>
      </c>
      <c r="L90" s="32">
        <f>'cash Flow'!M12</f>
        <v>-34258</v>
      </c>
      <c r="M90" s="32">
        <f>'cash Flow'!N12</f>
        <v>-37304</v>
      </c>
    </row>
    <row r="91" spans="2:13" x14ac:dyDescent="0.25">
      <c r="B91" t="s">
        <v>97</v>
      </c>
      <c r="D91" s="32">
        <f>'cash Flow'!E13</f>
        <v>293</v>
      </c>
      <c r="E91" s="32">
        <f>'cash Flow'!F13</f>
        <v>1452</v>
      </c>
      <c r="F91" s="32">
        <f>'cash Flow'!G13</f>
        <v>75</v>
      </c>
      <c r="G91" s="32">
        <f>'cash Flow'!H13</f>
        <v>103</v>
      </c>
      <c r="H91" s="32">
        <f>'cash Flow'!I13</f>
        <v>31864</v>
      </c>
      <c r="I91" s="32">
        <f>'cash Flow'!J13</f>
        <v>1147</v>
      </c>
      <c r="J91" s="32">
        <f>'cash Flow'!K13</f>
        <v>30</v>
      </c>
      <c r="K91" s="32">
        <f>'cash Flow'!L13</f>
        <v>146</v>
      </c>
      <c r="L91" s="32">
        <f>'cash Flow'!M13</f>
        <v>62</v>
      </c>
      <c r="M91" s="32">
        <f>'cash Flow'!N13</f>
        <v>39</v>
      </c>
    </row>
    <row r="92" spans="2:13" x14ac:dyDescent="0.25">
      <c r="B92" t="s">
        <v>98</v>
      </c>
      <c r="D92" s="32">
        <f>'cash Flow'!E14</f>
        <v>-668990</v>
      </c>
      <c r="E92" s="32">
        <f>'cash Flow'!F14</f>
        <v>-609377</v>
      </c>
      <c r="F92" s="32">
        <f>'cash Flow'!G14</f>
        <v>-506925</v>
      </c>
      <c r="G92" s="32">
        <f>'cash Flow'!H14</f>
        <v>-1020880</v>
      </c>
      <c r="H92" s="32">
        <f>'cash Flow'!I14</f>
        <v>-1011276</v>
      </c>
      <c r="I92" s="32">
        <f>'cash Flow'!J14</f>
        <v>-432492</v>
      </c>
      <c r="J92" s="32">
        <f>'cash Flow'!K14</f>
        <v>-521980</v>
      </c>
      <c r="K92" s="32">
        <f>'cash Flow'!L14</f>
        <v>-219404</v>
      </c>
      <c r="L92" s="32">
        <f>'cash Flow'!M14</f>
        <v>-375590</v>
      </c>
      <c r="M92" s="32">
        <f>'cash Flow'!N14</f>
        <v>-412018</v>
      </c>
    </row>
    <row r="93" spans="2:13" x14ac:dyDescent="0.25">
      <c r="B93" t="s">
        <v>99</v>
      </c>
      <c r="D93" s="32">
        <f>'cash Flow'!E15</f>
        <v>668877</v>
      </c>
      <c r="E93" s="32">
        <f>'cash Flow'!F15</f>
        <v>619551</v>
      </c>
      <c r="F93" s="32">
        <f>'cash Flow'!G15</f>
        <v>504318</v>
      </c>
      <c r="G93" s="32">
        <f>'cash Flow'!H15</f>
        <v>1017713</v>
      </c>
      <c r="H93" s="32">
        <f>'cash Flow'!I15</f>
        <v>1002471</v>
      </c>
      <c r="I93" s="32">
        <f>'cash Flow'!J15</f>
        <v>434074</v>
      </c>
      <c r="J93" s="32">
        <f>'cash Flow'!K15</f>
        <v>502224</v>
      </c>
      <c r="K93" s="32">
        <f>'cash Flow'!L15</f>
        <v>278222</v>
      </c>
      <c r="L93" s="32">
        <f>'cash Flow'!M15</f>
        <v>394803</v>
      </c>
      <c r="M93" s="32">
        <f>'cash Flow'!N15</f>
        <v>0</v>
      </c>
    </row>
    <row r="94" spans="2:13" x14ac:dyDescent="0.25">
      <c r="B94" t="s">
        <v>100</v>
      </c>
      <c r="D94" s="32">
        <f>'cash Flow'!E16</f>
        <v>-917</v>
      </c>
      <c r="E94" s="32">
        <f>'cash Flow'!F16</f>
        <v>0</v>
      </c>
      <c r="F94" s="32">
        <f>'cash Flow'!G16</f>
        <v>0</v>
      </c>
      <c r="G94" s="32">
        <f>'cash Flow'!H16</f>
        <v>0</v>
      </c>
      <c r="H94" s="32">
        <f>'cash Flow'!I16</f>
        <v>0</v>
      </c>
      <c r="I94" s="32">
        <f>'cash Flow'!J16</f>
        <v>0</v>
      </c>
      <c r="J94" s="32">
        <f>'cash Flow'!K16</f>
        <v>0</v>
      </c>
      <c r="K94" s="32">
        <f>'cash Flow'!L16</f>
        <v>0</v>
      </c>
      <c r="L94" s="32">
        <f>'cash Flow'!M16</f>
        <v>0</v>
      </c>
      <c r="M94" s="32">
        <f>'cash Flow'!N16</f>
        <v>0</v>
      </c>
    </row>
    <row r="95" spans="2:13" x14ac:dyDescent="0.25">
      <c r="B95" t="s">
        <v>101</v>
      </c>
      <c r="D95" s="32">
        <f>'cash Flow'!E17</f>
        <v>3850</v>
      </c>
      <c r="E95" s="32">
        <f>'cash Flow'!F17</f>
        <v>2153</v>
      </c>
      <c r="F95" s="32">
        <f>'cash Flow'!G17</f>
        <v>2162</v>
      </c>
      <c r="G95" s="32">
        <f>'cash Flow'!H17</f>
        <v>2368</v>
      </c>
      <c r="H95" s="32">
        <f>'cash Flow'!I17</f>
        <v>2890</v>
      </c>
      <c r="I95" s="32">
        <f>'cash Flow'!J17</f>
        <v>10706</v>
      </c>
      <c r="J95" s="32">
        <f>'cash Flow'!K17</f>
        <v>5955</v>
      </c>
      <c r="K95" s="32">
        <f>'cash Flow'!L17</f>
        <v>9640</v>
      </c>
      <c r="L95" s="32">
        <f>'cash Flow'!M17</f>
        <v>9858</v>
      </c>
      <c r="M95" s="32">
        <f>'cash Flow'!N17</f>
        <v>12292</v>
      </c>
    </row>
    <row r="96" spans="2:13" x14ac:dyDescent="0.25">
      <c r="B96" t="s">
        <v>102</v>
      </c>
      <c r="D96" s="32">
        <f>'cash Flow'!E18</f>
        <v>691</v>
      </c>
      <c r="E96" s="32">
        <f>'cash Flow'!F18</f>
        <v>271</v>
      </c>
      <c r="F96" s="32">
        <f>'cash Flow'!G18</f>
        <v>934</v>
      </c>
      <c r="G96" s="32">
        <f>'cash Flow'!H18</f>
        <v>448</v>
      </c>
      <c r="H96" s="32">
        <f>'cash Flow'!I18</f>
        <v>350</v>
      </c>
      <c r="I96" s="32">
        <f>'cash Flow'!J18</f>
        <v>141</v>
      </c>
      <c r="J96" s="32">
        <f>'cash Flow'!K18</f>
        <v>276</v>
      </c>
      <c r="K96" s="32">
        <f>'cash Flow'!L18</f>
        <v>92</v>
      </c>
      <c r="L96" s="32">
        <f>'cash Flow'!M18</f>
        <v>59</v>
      </c>
      <c r="M96" s="32">
        <f>'cash Flow'!N18</f>
        <v>1763</v>
      </c>
    </row>
    <row r="97" spans="2:13" x14ac:dyDescent="0.25">
      <c r="B97" t="s">
        <v>103</v>
      </c>
      <c r="D97" s="32">
        <f>'cash Flow'!E19</f>
        <v>-25255</v>
      </c>
      <c r="E97" s="32">
        <f>'cash Flow'!F19</f>
        <v>-66498</v>
      </c>
      <c r="F97" s="32">
        <f>'cash Flow'!G19</f>
        <v>-34973</v>
      </c>
      <c r="G97" s="32">
        <f>'cash Flow'!H19</f>
        <v>-28827</v>
      </c>
      <c r="H97" s="32">
        <f>'cash Flow'!I19</f>
        <v>-212106</v>
      </c>
      <c r="I97" s="32">
        <f>'cash Flow'!J19</f>
        <v>-16147</v>
      </c>
      <c r="J97" s="32">
        <f>'cash Flow'!K19</f>
        <v>-37574</v>
      </c>
      <c r="K97" s="32">
        <f>'cash Flow'!L19</f>
        <v>-59983</v>
      </c>
      <c r="L97" s="32">
        <f>'cash Flow'!M19</f>
        <v>-40506</v>
      </c>
      <c r="M97" s="32">
        <f>'cash Flow'!N19</f>
        <v>-46372</v>
      </c>
    </row>
    <row r="98" spans="2:13" x14ac:dyDescent="0.25">
      <c r="B98" t="s">
        <v>104</v>
      </c>
      <c r="D98" s="32">
        <f>'cash Flow'!E20</f>
        <v>0</v>
      </c>
      <c r="E98" s="32">
        <f>'cash Flow'!F20</f>
        <v>0</v>
      </c>
      <c r="F98" s="32">
        <f>'cash Flow'!G20</f>
        <v>0</v>
      </c>
      <c r="G98" s="32">
        <f>'cash Flow'!H20</f>
        <v>0</v>
      </c>
      <c r="H98" s="32">
        <f>'cash Flow'!I20</f>
        <v>0</v>
      </c>
      <c r="I98" s="32">
        <f>'cash Flow'!J20</f>
        <v>-7321</v>
      </c>
      <c r="J98" s="32">
        <f>'cash Flow'!K20</f>
        <v>0</v>
      </c>
      <c r="K98" s="32">
        <f>'cash Flow'!L20</f>
        <v>0</v>
      </c>
      <c r="L98" s="32">
        <f>'cash Flow'!M20</f>
        <v>0</v>
      </c>
      <c r="M98" s="32">
        <f>'cash Flow'!N20</f>
        <v>0</v>
      </c>
    </row>
    <row r="99" spans="2:13" x14ac:dyDescent="0.25">
      <c r="B99" t="s">
        <v>105</v>
      </c>
      <c r="D99" s="32">
        <f>'cash Flow'!E21</f>
        <v>444</v>
      </c>
      <c r="E99" s="32">
        <f>'cash Flow'!F21</f>
        <v>26461</v>
      </c>
      <c r="F99" s="32">
        <f>'cash Flow'!G21</f>
        <v>0</v>
      </c>
      <c r="G99" s="32">
        <f>'cash Flow'!H21</f>
        <v>97</v>
      </c>
      <c r="H99" s="32">
        <f>'cash Flow'!I21</f>
        <v>65365</v>
      </c>
      <c r="I99" s="32">
        <f>'cash Flow'!J21</f>
        <v>133647</v>
      </c>
      <c r="J99" s="32">
        <f>'cash Flow'!K21</f>
        <v>956</v>
      </c>
      <c r="K99" s="32">
        <f>'cash Flow'!L21</f>
        <v>213</v>
      </c>
      <c r="L99" s="32">
        <f>'cash Flow'!M21</f>
        <v>4305</v>
      </c>
      <c r="M99" s="32">
        <f>'cash Flow'!N21</f>
        <v>15089</v>
      </c>
    </row>
    <row r="100" spans="2:13" x14ac:dyDescent="0.25">
      <c r="B100" t="s">
        <v>106</v>
      </c>
      <c r="D100" s="32">
        <f>'cash Flow'!E22</f>
        <v>0</v>
      </c>
      <c r="E100" s="32">
        <f>'cash Flow'!F22</f>
        <v>1304</v>
      </c>
      <c r="F100" s="32">
        <f>'cash Flow'!G22</f>
        <v>0</v>
      </c>
      <c r="G100" s="32">
        <f>'cash Flow'!H22</f>
        <v>0</v>
      </c>
      <c r="H100" s="32">
        <f>'cash Flow'!I22</f>
        <v>42</v>
      </c>
      <c r="I100" s="32">
        <f>'cash Flow'!J22</f>
        <v>-27743</v>
      </c>
      <c r="J100" s="32">
        <f>'cash Flow'!K22</f>
        <v>22947</v>
      </c>
      <c r="K100" s="32">
        <f>'cash Flow'!L22</f>
        <v>11720</v>
      </c>
      <c r="L100" s="32">
        <f>'cash Flow'!M22</f>
        <v>2975</v>
      </c>
      <c r="M100" s="32">
        <f>'cash Flow'!N22</f>
        <v>438405</v>
      </c>
    </row>
    <row r="101" spans="2:13" ht="15.75" thickBot="1" x14ac:dyDescent="0.3">
      <c r="B101" s="42" t="s">
        <v>119</v>
      </c>
      <c r="C101" s="40"/>
      <c r="D101" s="41">
        <f>SUM(D90:D100)</f>
        <v>-41223</v>
      </c>
      <c r="E101" s="41">
        <f t="shared" ref="E101:L101" si="44">SUM(E90:E100)</f>
        <v>-54949</v>
      </c>
      <c r="F101" s="41">
        <f t="shared" si="44"/>
        <v>-59109</v>
      </c>
      <c r="G101" s="41">
        <f t="shared" si="44"/>
        <v>-53949</v>
      </c>
      <c r="H101" s="41">
        <f t="shared" si="44"/>
        <v>-143583</v>
      </c>
      <c r="I101" s="41">
        <f t="shared" si="44"/>
        <v>74257</v>
      </c>
      <c r="J101" s="41">
        <f t="shared" si="44"/>
        <v>-45315</v>
      </c>
      <c r="K101" s="41">
        <f t="shared" si="44"/>
        <v>-8678</v>
      </c>
      <c r="L101" s="41">
        <f t="shared" si="44"/>
        <v>-38292</v>
      </c>
      <c r="M101" s="41">
        <f t="shared" ref="M101" si="45">SUM(M90:M100)</f>
        <v>-28106</v>
      </c>
    </row>
    <row r="102" spans="2:13" x14ac:dyDescent="0.25">
      <c r="B102" s="5"/>
      <c r="D102" s="23"/>
      <c r="E102" s="23"/>
      <c r="F102" s="23"/>
      <c r="G102" s="23"/>
      <c r="H102" s="23"/>
      <c r="I102" s="23"/>
      <c r="J102" s="23"/>
      <c r="K102" s="23"/>
      <c r="L102" s="23"/>
      <c r="M102" s="23"/>
    </row>
    <row r="103" spans="2:13" x14ac:dyDescent="0.25">
      <c r="B103" s="37" t="s">
        <v>20</v>
      </c>
      <c r="C103" s="36"/>
      <c r="D103" s="38"/>
      <c r="E103" s="38"/>
      <c r="F103" s="38"/>
      <c r="G103" s="38"/>
      <c r="H103" s="38"/>
      <c r="I103" s="38"/>
      <c r="J103" s="38"/>
      <c r="K103" s="38"/>
      <c r="L103" s="38"/>
      <c r="M103" s="38"/>
    </row>
    <row r="104" spans="2:13" x14ac:dyDescent="0.25">
      <c r="B104" t="s">
        <v>107</v>
      </c>
      <c r="D104" s="32">
        <f>'cash Flow'!E25</f>
        <v>283</v>
      </c>
      <c r="E104" s="32">
        <f>'cash Flow'!F25</f>
        <v>692</v>
      </c>
      <c r="F104" s="32">
        <f>'cash Flow'!G25</f>
        <v>125</v>
      </c>
      <c r="G104" s="32">
        <f>'cash Flow'!H25</f>
        <v>117</v>
      </c>
      <c r="H104" s="32">
        <f>'cash Flow'!I25</f>
        <v>18</v>
      </c>
      <c r="I104" s="32">
        <f>'cash Flow'!J25</f>
        <v>5</v>
      </c>
      <c r="J104" s="32">
        <f>'cash Flow'!K25</f>
        <v>5</v>
      </c>
      <c r="K104" s="32">
        <f>'cash Flow'!L25</f>
        <v>40</v>
      </c>
      <c r="L104" s="32">
        <f>'cash Flow'!M25</f>
        <v>7</v>
      </c>
      <c r="M104" s="32">
        <f>'cash Flow'!N25</f>
        <v>0</v>
      </c>
    </row>
    <row r="105" spans="2:13" x14ac:dyDescent="0.25">
      <c r="B105" t="s">
        <v>108</v>
      </c>
      <c r="D105" s="32">
        <f>'cash Flow'!E26</f>
        <v>9032</v>
      </c>
      <c r="E105" s="32">
        <f>'cash Flow'!F26</f>
        <v>8284</v>
      </c>
      <c r="F105" s="32">
        <f>'cash Flow'!G26</f>
        <v>28328</v>
      </c>
      <c r="G105" s="32">
        <f>'cash Flow'!H26</f>
        <v>48136</v>
      </c>
      <c r="H105" s="32">
        <f>'cash Flow'!I26</f>
        <v>99138</v>
      </c>
      <c r="I105" s="32">
        <f>'cash Flow'!J26</f>
        <v>45975</v>
      </c>
      <c r="J105" s="32">
        <f>'cash Flow'!K26</f>
        <v>69678</v>
      </c>
      <c r="K105" s="32">
        <f>'cash Flow'!L26</f>
        <v>31956</v>
      </c>
      <c r="L105" s="32">
        <f>'cash Flow'!M26</f>
        <v>38592</v>
      </c>
      <c r="M105" s="32">
        <f>'cash Flow'!N26</f>
        <v>4016</v>
      </c>
    </row>
    <row r="106" spans="2:13" x14ac:dyDescent="0.25">
      <c r="B106" t="s">
        <v>109</v>
      </c>
      <c r="D106" s="32">
        <f>'cash Flow'!E27</f>
        <v>-4591</v>
      </c>
      <c r="E106" s="32">
        <f>'cash Flow'!F27</f>
        <v>0</v>
      </c>
      <c r="F106" s="32">
        <f>'cash Flow'!G27</f>
        <v>-19199</v>
      </c>
      <c r="G106" s="32">
        <f>'cash Flow'!H27</f>
        <v>-6594</v>
      </c>
      <c r="H106" s="32">
        <f>'cash Flow'!I27</f>
        <v>-9238</v>
      </c>
      <c r="I106" s="32">
        <f>'cash Flow'!J27</f>
        <v>-104369</v>
      </c>
      <c r="J106" s="32">
        <f>'cash Flow'!K27</f>
        <v>-60293</v>
      </c>
      <c r="K106" s="32">
        <f>'cash Flow'!L27</f>
        <v>-20252</v>
      </c>
      <c r="L106" s="32">
        <f>'cash Flow'!M27</f>
        <v>-43004</v>
      </c>
      <c r="M106" s="32">
        <f>'cash Flow'!N27</f>
        <v>-20680</v>
      </c>
    </row>
    <row r="107" spans="2:13" x14ac:dyDescent="0.25">
      <c r="B107" t="s">
        <v>110</v>
      </c>
      <c r="D107" s="32">
        <f>'cash Flow'!E28</f>
        <v>-4376</v>
      </c>
      <c r="E107" s="32">
        <f>'cash Flow'!F28</f>
        <v>-5355</v>
      </c>
      <c r="F107" s="32">
        <f>'cash Flow'!G28</f>
        <v>-7267</v>
      </c>
      <c r="G107" s="32">
        <f>'cash Flow'!H28</f>
        <v>-11584</v>
      </c>
      <c r="H107" s="32">
        <f>'cash Flow'!I28</f>
        <v>-14471</v>
      </c>
      <c r="I107" s="32">
        <f>'cash Flow'!J28</f>
        <v>-14294</v>
      </c>
      <c r="J107" s="32">
        <f>'cash Flow'!K28</f>
        <v>-11019</v>
      </c>
      <c r="K107" s="32">
        <f>'cash Flow'!L28</f>
        <v>-13953</v>
      </c>
      <c r="L107" s="32">
        <f>'cash Flow'!M28</f>
        <v>-16873</v>
      </c>
      <c r="M107" s="32">
        <f>'cash Flow'!N28</f>
        <v>-14562</v>
      </c>
    </row>
    <row r="108" spans="2:13" x14ac:dyDescent="0.25">
      <c r="B108" t="s">
        <v>111</v>
      </c>
      <c r="D108" s="32">
        <f>'cash Flow'!E29</f>
        <v>-7259</v>
      </c>
      <c r="E108" s="32">
        <f>'cash Flow'!F29</f>
        <v>0</v>
      </c>
      <c r="F108" s="32">
        <f>'cash Flow'!G29</f>
        <v>-3916</v>
      </c>
      <c r="G108" s="32">
        <f>'cash Flow'!H29</f>
        <v>-4282</v>
      </c>
      <c r="H108" s="32">
        <f>'cash Flow'!I29</f>
        <v>-4584</v>
      </c>
      <c r="I108" s="32">
        <f>'cash Flow'!J29</f>
        <v>-3921</v>
      </c>
      <c r="J108" s="32">
        <f>'cash Flow'!K29</f>
        <v>-4297</v>
      </c>
      <c r="K108" s="32">
        <f>'cash Flow'!L29</f>
        <v>-5083</v>
      </c>
      <c r="L108" s="32">
        <f>'cash Flow'!M29</f>
        <v>-6089</v>
      </c>
      <c r="M108" s="32">
        <f>'cash Flow'!N29</f>
        <v>-6766</v>
      </c>
    </row>
    <row r="109" spans="2:13" x14ac:dyDescent="0.25">
      <c r="B109" t="s">
        <v>112</v>
      </c>
      <c r="D109" s="32">
        <f>'cash Flow'!E30</f>
        <v>0</v>
      </c>
      <c r="E109" s="32">
        <f>'cash Flow'!F30</f>
        <v>0</v>
      </c>
      <c r="F109" s="32">
        <f>'cash Flow'!G30</f>
        <v>0</v>
      </c>
      <c r="G109" s="32">
        <f>'cash Flow'!H30</f>
        <v>0</v>
      </c>
      <c r="H109" s="32">
        <f>'cash Flow'!I30</f>
        <v>-97</v>
      </c>
      <c r="I109" s="32">
        <f>'cash Flow'!J30</f>
        <v>-53</v>
      </c>
      <c r="J109" s="32">
        <f>'cash Flow'!K30</f>
        <v>-109</v>
      </c>
      <c r="K109" s="32">
        <f>'cash Flow'!L30</f>
        <v>-77</v>
      </c>
      <c r="L109" s="32">
        <f>'cash Flow'!M30</f>
        <v>-98</v>
      </c>
      <c r="M109" s="32">
        <f>'cash Flow'!N30</f>
        <v>-186</v>
      </c>
    </row>
    <row r="110" spans="2:13" x14ac:dyDescent="0.25">
      <c r="B110" t="s">
        <v>113</v>
      </c>
      <c r="D110" s="32">
        <f>'cash Flow'!E31</f>
        <v>8</v>
      </c>
      <c r="E110" s="32">
        <f>'cash Flow'!F31</f>
        <v>4</v>
      </c>
      <c r="F110" s="32">
        <f>'cash Flow'!G31</f>
        <v>15</v>
      </c>
      <c r="G110" s="32">
        <f>'cash Flow'!H31</f>
        <v>2</v>
      </c>
      <c r="H110" s="32">
        <f>'cash Flow'!I31</f>
        <v>1</v>
      </c>
      <c r="I110" s="32">
        <f>'cash Flow'!J31</f>
        <v>0</v>
      </c>
      <c r="J110" s="32">
        <f>'cash Flow'!K31</f>
        <v>0</v>
      </c>
      <c r="K110" s="32">
        <f>'cash Flow'!L31</f>
        <v>0</v>
      </c>
      <c r="L110" s="32">
        <f>'cash Flow'!M31</f>
        <v>0</v>
      </c>
      <c r="M110" s="32">
        <f>'cash Flow'!N31</f>
        <v>0</v>
      </c>
    </row>
    <row r="111" spans="2:13" x14ac:dyDescent="0.25">
      <c r="B111" t="s">
        <v>114</v>
      </c>
      <c r="D111" s="32">
        <f>'cash Flow'!E32</f>
        <v>0</v>
      </c>
      <c r="E111" s="32">
        <f>'cash Flow'!F32</f>
        <v>-5264</v>
      </c>
      <c r="F111" s="32">
        <f>'cash Flow'!G32</f>
        <v>0</v>
      </c>
      <c r="G111" s="32">
        <f>'cash Flow'!H32</f>
        <v>0</v>
      </c>
      <c r="H111" s="32">
        <f>'cash Flow'!I32</f>
        <v>0</v>
      </c>
      <c r="I111" s="32">
        <f>'cash Flow'!J32</f>
        <v>0</v>
      </c>
      <c r="J111" s="32">
        <f>'cash Flow'!K32</f>
        <v>0</v>
      </c>
      <c r="K111" s="32">
        <f>'cash Flow'!L32</f>
        <v>0</v>
      </c>
      <c r="L111" s="32">
        <f>'cash Flow'!M32</f>
        <v>0</v>
      </c>
      <c r="M111" s="32">
        <f>'cash Flow'!N32</f>
        <v>115</v>
      </c>
    </row>
    <row r="112" spans="2:13" ht="15.75" thickBot="1" x14ac:dyDescent="0.3">
      <c r="B112" s="42" t="s">
        <v>120</v>
      </c>
      <c r="C112" s="40"/>
      <c r="D112" s="41">
        <f>SUM(D104:D111)</f>
        <v>-6903</v>
      </c>
      <c r="E112" s="41">
        <f>SUM(E104:E111)</f>
        <v>-1639</v>
      </c>
      <c r="F112" s="41">
        <f t="shared" ref="F112:L112" si="46">SUM(F104:F111)</f>
        <v>-1914</v>
      </c>
      <c r="G112" s="41">
        <f t="shared" si="46"/>
        <v>25795</v>
      </c>
      <c r="H112" s="41">
        <f t="shared" si="46"/>
        <v>70767</v>
      </c>
      <c r="I112" s="41">
        <f t="shared" si="46"/>
        <v>-76657</v>
      </c>
      <c r="J112" s="41">
        <f t="shared" si="46"/>
        <v>-6035</v>
      </c>
      <c r="K112" s="41">
        <f t="shared" si="46"/>
        <v>-7369</v>
      </c>
      <c r="L112" s="41">
        <f t="shared" si="46"/>
        <v>-27465</v>
      </c>
      <c r="M112" s="41">
        <f t="shared" ref="M112" si="47">SUM(M104:M111)</f>
        <v>-38063</v>
      </c>
    </row>
    <row r="113" spans="1:17" x14ac:dyDescent="0.25">
      <c r="B113" s="5"/>
      <c r="D113" s="32"/>
      <c r="E113" s="32"/>
      <c r="F113" s="32"/>
      <c r="G113" s="32"/>
      <c r="H113" s="32"/>
      <c r="I113" s="32"/>
      <c r="J113" s="32"/>
      <c r="K113" s="32"/>
      <c r="L113" s="32"/>
      <c r="M113" s="32"/>
    </row>
    <row r="114" spans="1:17" ht="15.75" thickBot="1" x14ac:dyDescent="0.3">
      <c r="B114" s="42" t="s">
        <v>21</v>
      </c>
      <c r="C114" s="40"/>
      <c r="D114" s="41">
        <f>SUM(D112,D101,D87)</f>
        <v>-4679</v>
      </c>
      <c r="E114" s="41">
        <f t="shared" ref="E114:L114" si="48">SUM(E112,E101,E87)</f>
        <v>-5138</v>
      </c>
      <c r="F114" s="41">
        <f t="shared" si="48"/>
        <v>977</v>
      </c>
      <c r="G114" s="41">
        <f t="shared" si="48"/>
        <v>1037</v>
      </c>
      <c r="H114" s="41">
        <f t="shared" si="48"/>
        <v>4717</v>
      </c>
      <c r="I114" s="41">
        <f t="shared" si="48"/>
        <v>-2912</v>
      </c>
      <c r="J114" s="41">
        <f t="shared" si="48"/>
        <v>16141</v>
      </c>
      <c r="K114" s="41">
        <f t="shared" si="48"/>
        <v>39293</v>
      </c>
      <c r="L114" s="41">
        <f t="shared" si="48"/>
        <v>8241</v>
      </c>
      <c r="M114" s="41">
        <f t="shared" ref="M114" si="49">SUM(M112,M101,M87)</f>
        <v>13223</v>
      </c>
    </row>
    <row r="115" spans="1:17" x14ac:dyDescent="0.25">
      <c r="B115" s="1"/>
      <c r="C115" s="2"/>
      <c r="D115" s="287"/>
      <c r="E115" s="287"/>
      <c r="F115" s="287"/>
      <c r="G115" s="287"/>
      <c r="H115" s="287"/>
      <c r="I115" s="287"/>
      <c r="J115" s="287"/>
      <c r="K115" s="287"/>
      <c r="L115" s="287"/>
      <c r="M115" s="287"/>
    </row>
    <row r="116" spans="1:17" x14ac:dyDescent="0.25">
      <c r="B116" s="1"/>
      <c r="C116" s="2"/>
      <c r="D116" s="287"/>
      <c r="E116" s="287"/>
      <c r="F116" s="287"/>
      <c r="G116" s="287"/>
      <c r="H116" s="287"/>
      <c r="I116" s="287"/>
      <c r="J116" s="287"/>
      <c r="K116" s="287"/>
      <c r="L116" s="287"/>
      <c r="M116" s="287"/>
    </row>
    <row r="117" spans="1:17" s="11" customFormat="1" x14ac:dyDescent="0.25">
      <c r="A117"/>
      <c r="N117"/>
      <c r="O117"/>
      <c r="P117"/>
      <c r="Q117"/>
    </row>
    <row r="118" spans="1:17" x14ac:dyDescent="0.25">
      <c r="B118" s="1"/>
      <c r="C118" s="2"/>
      <c r="D118" s="287"/>
      <c r="E118" s="287"/>
      <c r="F118" s="287"/>
      <c r="G118" s="287"/>
      <c r="H118" s="287"/>
      <c r="I118" s="287"/>
      <c r="J118" s="287"/>
      <c r="K118" s="287"/>
      <c r="L118" s="287"/>
      <c r="M118" s="287"/>
    </row>
    <row r="119" spans="1:17" x14ac:dyDescent="0.25">
      <c r="B119" s="1"/>
      <c r="C119" s="2"/>
      <c r="D119" s="287"/>
      <c r="E119" s="287"/>
      <c r="F119" s="287"/>
      <c r="G119" s="287"/>
      <c r="H119" s="287"/>
      <c r="I119" s="287"/>
      <c r="J119" s="287"/>
      <c r="K119" s="287"/>
      <c r="L119" s="287"/>
      <c r="M119" s="287"/>
    </row>
    <row r="120" spans="1:17" x14ac:dyDescent="0.25">
      <c r="B120" s="1"/>
      <c r="C120" s="2"/>
      <c r="D120" s="287"/>
      <c r="E120" s="287"/>
      <c r="F120" s="287"/>
      <c r="G120" s="287"/>
      <c r="H120" s="287"/>
      <c r="I120" s="287"/>
      <c r="J120" s="287"/>
      <c r="K120" s="287"/>
      <c r="L120" s="287"/>
      <c r="M120" s="287"/>
    </row>
    <row r="121" spans="1:17" x14ac:dyDescent="0.25">
      <c r="B121" s="272" t="s">
        <v>731</v>
      </c>
      <c r="M121" s="273" t="s">
        <v>734</v>
      </c>
    </row>
    <row r="122" spans="1:17" x14ac:dyDescent="0.25">
      <c r="B122" s="272" t="s">
        <v>733</v>
      </c>
      <c r="M122" s="273" t="s">
        <v>735</v>
      </c>
    </row>
  </sheetData>
  <mergeCells count="3">
    <mergeCell ref="B8:L8"/>
    <mergeCell ref="B1:E4"/>
    <mergeCell ref="B5:E6"/>
  </mergeCells>
  <pageMargins left="0" right="0" top="0" bottom="0" header="0" footer="0"/>
  <pageSetup scale="62" fitToHeight="0" orientation="portrait" r:id="rId1"/>
  <rowBreaks count="3" manualBreakCount="3">
    <brk id="75" max="15" man="1"/>
    <brk id="122" max="13" man="1"/>
    <brk id="123" max="13" man="1"/>
  </rowBreaks>
  <colBreaks count="1" manualBreakCount="1">
    <brk id="14" max="1048575" man="1"/>
  </colBreaks>
  <ignoredErrors>
    <ignoredError sqref="D15:L15 D21:E21 F21:L21"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0791-FA49-4211-BA4D-81C1142A51D4}">
  <sheetPr>
    <pageSetUpPr fitToPage="1"/>
  </sheetPr>
  <dimension ref="B1:R54"/>
  <sheetViews>
    <sheetView showGridLines="0" view="pageBreakPreview" zoomScale="60" zoomScaleNormal="100" workbookViewId="0">
      <selection activeCell="U49" sqref="U49"/>
    </sheetView>
  </sheetViews>
  <sheetFormatPr defaultRowHeight="15" x14ac:dyDescent="0.25"/>
  <cols>
    <col min="1" max="1" width="2.28515625" customWidth="1"/>
    <col min="2" max="2" width="26.140625" bestFit="1" customWidth="1"/>
    <col min="3" max="3" width="1.28515625" customWidth="1"/>
    <col min="4" max="4" width="10.28515625" customWidth="1"/>
    <col min="16" max="16" width="8.28515625" customWidth="1"/>
    <col min="17" max="17" width="10.85546875" customWidth="1"/>
  </cols>
  <sheetData>
    <row r="1" spans="2:17" x14ac:dyDescent="0.25">
      <c r="B1" s="307" t="str">
        <f>'Data Sheet'!B1</f>
        <v>RELIANCE INDUSTRIES LTD</v>
      </c>
      <c r="C1" s="307"/>
      <c r="D1" s="307"/>
      <c r="E1" s="307"/>
      <c r="F1" s="307"/>
      <c r="G1" s="11"/>
      <c r="H1" s="11"/>
      <c r="I1" s="11"/>
      <c r="J1" s="11"/>
      <c r="K1" s="11"/>
      <c r="L1" s="11"/>
      <c r="M1" s="11"/>
      <c r="N1" s="11"/>
      <c r="O1" s="11"/>
      <c r="P1" s="11"/>
      <c r="Q1" s="11"/>
    </row>
    <row r="2" spans="2:17" x14ac:dyDescent="0.25">
      <c r="B2" s="307"/>
      <c r="C2" s="307"/>
      <c r="D2" s="307"/>
      <c r="E2" s="307"/>
      <c r="F2" s="307"/>
      <c r="G2" s="11"/>
      <c r="H2" s="11"/>
      <c r="I2" s="11"/>
      <c r="J2" s="11"/>
      <c r="K2" s="11"/>
      <c r="L2" s="11"/>
      <c r="M2" s="11"/>
      <c r="N2" s="11"/>
      <c r="O2" s="11"/>
      <c r="P2" s="11"/>
      <c r="Q2" s="11"/>
    </row>
    <row r="3" spans="2:17" x14ac:dyDescent="0.25">
      <c r="B3" s="307"/>
      <c r="C3" s="307"/>
      <c r="D3" s="307"/>
      <c r="E3" s="307"/>
      <c r="F3" s="307"/>
      <c r="G3" s="11"/>
      <c r="H3" s="11"/>
      <c r="I3" s="11"/>
      <c r="J3" s="11"/>
      <c r="K3" s="11"/>
      <c r="L3" s="11"/>
      <c r="M3" s="11"/>
      <c r="N3" s="11"/>
      <c r="O3" s="11"/>
      <c r="P3" s="11"/>
      <c r="Q3" s="11"/>
    </row>
    <row r="4" spans="2:17" x14ac:dyDescent="0.25">
      <c r="B4" s="307"/>
      <c r="C4" s="307"/>
      <c r="D4" s="307"/>
      <c r="E4" s="307"/>
      <c r="F4" s="307"/>
      <c r="G4" s="11"/>
      <c r="H4" s="11"/>
      <c r="I4" s="11"/>
      <c r="J4" s="11"/>
      <c r="K4" s="11"/>
      <c r="L4" s="11"/>
      <c r="M4" s="11"/>
      <c r="N4" s="309"/>
      <c r="O4" s="309"/>
      <c r="P4" s="309"/>
      <c r="Q4" s="309"/>
    </row>
    <row r="5" spans="2:17" ht="15" customHeight="1" x14ac:dyDescent="0.25">
      <c r="B5" s="307"/>
      <c r="C5" s="307"/>
      <c r="D5" s="307"/>
      <c r="E5" s="307"/>
      <c r="F5" s="307"/>
      <c r="G5" s="11"/>
      <c r="H5" s="11"/>
      <c r="I5" s="11"/>
      <c r="J5" s="11"/>
      <c r="K5" s="11"/>
      <c r="L5" s="11"/>
      <c r="M5" s="11"/>
      <c r="N5" s="309"/>
      <c r="O5" s="309"/>
      <c r="P5" s="309"/>
      <c r="Q5" s="309"/>
    </row>
    <row r="6" spans="2:17" ht="15" customHeight="1" x14ac:dyDescent="0.25">
      <c r="B6" s="308" t="s">
        <v>63</v>
      </c>
      <c r="C6" s="308"/>
      <c r="D6" s="308"/>
      <c r="E6" s="308"/>
      <c r="F6" s="308"/>
      <c r="G6" s="11"/>
      <c r="H6" s="11"/>
      <c r="I6" s="11"/>
      <c r="J6" s="11"/>
      <c r="K6" s="11"/>
      <c r="L6" s="11"/>
      <c r="M6" s="11"/>
      <c r="N6" s="309"/>
      <c r="O6" s="309"/>
      <c r="P6" s="309"/>
      <c r="Q6" s="309"/>
    </row>
    <row r="7" spans="2:17" ht="15.75" customHeight="1" x14ac:dyDescent="0.25">
      <c r="B7" s="308"/>
      <c r="C7" s="308"/>
      <c r="D7" s="308"/>
      <c r="E7" s="308"/>
      <c r="F7" s="308"/>
      <c r="G7" s="11"/>
      <c r="H7" s="11"/>
      <c r="I7" s="11"/>
      <c r="J7" s="11"/>
      <c r="K7" s="11"/>
      <c r="L7" s="11"/>
      <c r="M7" s="11"/>
      <c r="N7" s="309"/>
      <c r="O7" s="309"/>
      <c r="P7" s="309"/>
      <c r="Q7" s="309"/>
    </row>
    <row r="9" spans="2:17" ht="15.75" x14ac:dyDescent="0.25">
      <c r="B9" s="306" t="str">
        <f>" Ratio Analysis of - "&amp;'Data Sheet'!B1</f>
        <v xml:space="preserve"> Ratio Analysis of - RELIANCE INDUSTRIES LTD</v>
      </c>
      <c r="C9" s="306"/>
      <c r="D9" s="306"/>
      <c r="E9" s="306"/>
      <c r="F9" s="306"/>
      <c r="G9" s="306"/>
      <c r="H9" s="306"/>
      <c r="I9" s="306"/>
      <c r="J9" s="306"/>
      <c r="K9" s="306"/>
      <c r="L9" s="306"/>
      <c r="M9" s="306"/>
      <c r="N9" s="306"/>
      <c r="O9" s="306"/>
      <c r="P9" s="306"/>
      <c r="Q9" s="306"/>
    </row>
    <row r="10" spans="2:17" x14ac:dyDescent="0.25">
      <c r="B10" s="12" t="s">
        <v>64</v>
      </c>
      <c r="C10" s="17"/>
      <c r="D10" s="18">
        <f>'Data Sheet'!B16</f>
        <v>42460</v>
      </c>
      <c r="E10" s="18">
        <f>'Data Sheet'!C16</f>
        <v>42825</v>
      </c>
      <c r="F10" s="18">
        <f>'Data Sheet'!D16</f>
        <v>43190</v>
      </c>
      <c r="G10" s="18">
        <f>'Data Sheet'!E16</f>
        <v>43555</v>
      </c>
      <c r="H10" s="18">
        <f>'Data Sheet'!F16</f>
        <v>43921</v>
      </c>
      <c r="I10" s="18">
        <f>'Data Sheet'!G16</f>
        <v>44286</v>
      </c>
      <c r="J10" s="18">
        <f>'Data Sheet'!H16</f>
        <v>44651</v>
      </c>
      <c r="K10" s="18">
        <f>'Data Sheet'!I16</f>
        <v>45016</v>
      </c>
      <c r="L10" s="18">
        <f>'Data Sheet'!J16</f>
        <v>45382</v>
      </c>
      <c r="M10" s="18">
        <f>'Data Sheet'!K16</f>
        <v>45747</v>
      </c>
      <c r="N10" s="302" t="s">
        <v>121</v>
      </c>
      <c r="O10" s="302"/>
      <c r="P10" s="18" t="s">
        <v>122</v>
      </c>
      <c r="Q10" s="18" t="s">
        <v>123</v>
      </c>
    </row>
    <row r="12" spans="2:17" x14ac:dyDescent="0.25">
      <c r="B12" s="129" t="str">
        <f>'Historical Financial Statement'!B13</f>
        <v>Sales Growth</v>
      </c>
      <c r="C12" s="129"/>
      <c r="D12" s="129"/>
      <c r="E12" s="192">
        <f>'Historical Financial Statement'!E13</f>
        <v>0.11508788148930793</v>
      </c>
      <c r="F12" s="192">
        <f>'Historical Financial Statement'!F13</f>
        <v>0.28579653500200686</v>
      </c>
      <c r="G12" s="192">
        <f>'Historical Financial Statement'!G13</f>
        <v>0.45420561225925793</v>
      </c>
      <c r="H12" s="192">
        <f>'Historical Financial Statement'!H13</f>
        <v>4.9868299969912266E-2</v>
      </c>
      <c r="I12" s="192">
        <f>'Historical Financial Statement'!I13</f>
        <v>-0.21849604226057895</v>
      </c>
      <c r="J12" s="192">
        <f>'Historical Financial Statement'!J13</f>
        <v>0.48973315862725619</v>
      </c>
      <c r="K12" s="192">
        <f>'Historical Financial Statement'!K13</f>
        <v>0.26159502384575184</v>
      </c>
      <c r="L12" s="192">
        <f>'Historical Financial Statement'!L13</f>
        <v>2.5838776078393799E-2</v>
      </c>
      <c r="M12" s="192">
        <f>'Historical Financial Statement'!M13</f>
        <v>7.30244783052163E-2</v>
      </c>
      <c r="N12" s="311"/>
      <c r="O12" s="311"/>
      <c r="P12" s="225">
        <f>AVERAGE(E12:M12)</f>
        <v>0.1707393025907249</v>
      </c>
      <c r="Q12" s="225">
        <f>MEDIAN(E12:L12)</f>
        <v>0.18834145266752989</v>
      </c>
    </row>
    <row r="13" spans="2:17" x14ac:dyDescent="0.25">
      <c r="B13" s="24" t="s">
        <v>124</v>
      </c>
      <c r="C13" s="24"/>
      <c r="D13" s="24"/>
      <c r="E13" s="193">
        <f>'Historical Financial Statement'!E24/'Historical Financial Statement'!D24-1</f>
        <v>-0.18503719525668405</v>
      </c>
      <c r="F13" s="193">
        <f>'Historical Financial Statement'!F24/'Historical Financial Statement'!E24-1</f>
        <v>0.27924263991504561</v>
      </c>
      <c r="G13" s="193">
        <f>'Historical Financial Statement'!G24/'Historical Financial Statement'!F24-1</f>
        <v>0.54329011974990293</v>
      </c>
      <c r="H13" s="193">
        <f>'Historical Financial Statement'!H24/'Historical Financial Statement'!G24-1</f>
        <v>6.7145047952573922E-2</v>
      </c>
      <c r="I13" s="193">
        <f>'Historical Financial Statement'!I24/'Historical Financial Statement'!H24-1</f>
        <v>-0.16908145208858383</v>
      </c>
      <c r="J13" s="193">
        <f>'Historical Financial Statement'!J24/'Historical Financial Statement'!I24-1</f>
        <v>8.9650098736431705E-2</v>
      </c>
      <c r="K13" s="193">
        <f>'Historical Financial Statement'!K24/'Historical Financial Statement'!J24-1</f>
        <v>0.26341723423156638</v>
      </c>
      <c r="L13" s="193">
        <f>'Historical Financial Statement'!L24/'Historical Financial Statement'!K24-1</f>
        <v>0.67264494112352802</v>
      </c>
      <c r="M13" s="193">
        <f>'Historical Financial Statement'!M24/'Historical Financial Statement'!L24-1</f>
        <v>-8.2147401225260763E-2</v>
      </c>
      <c r="N13" s="310"/>
      <c r="O13" s="310"/>
      <c r="P13" s="226">
        <f t="shared" ref="P13:P16" si="0">AVERAGE(E13:M13)</f>
        <v>0.16434711479316888</v>
      </c>
      <c r="Q13" s="226">
        <f>MEDIAN(E13:L13)</f>
        <v>0.17653366648399904</v>
      </c>
    </row>
    <row r="14" spans="2:17" x14ac:dyDescent="0.25">
      <c r="B14" s="24" t="s">
        <v>125</v>
      </c>
      <c r="C14" s="24"/>
      <c r="D14" s="24"/>
      <c r="E14" s="193">
        <f>'Historical Financial Statement'!E33/'Historical Financial Statement'!D33-1</f>
        <v>-0.26344361364334734</v>
      </c>
      <c r="F14" s="193">
        <f>'Historical Financial Statement'!F33/'Historical Financial Statement'!E33-1</f>
        <v>0.10763454317897381</v>
      </c>
      <c r="G14" s="193">
        <f>'Historical Financial Statement'!G33/'Historical Financial Statement'!F33-1</f>
        <v>0.56776522284996855</v>
      </c>
      <c r="H14" s="193">
        <f>'Historical Financial Statement'!H33/'Historical Financial Statement'!G33-1</f>
        <v>-1.8699073054515569E-2</v>
      </c>
      <c r="I14" s="193">
        <f>'Historical Financial Statement'!I33/'Historical Financial Statement'!H33-1</f>
        <v>-0.39369580740589616</v>
      </c>
      <c r="J14" s="193">
        <f>'Historical Financial Statement'!J33/'Historical Financial Statement'!I33-1</f>
        <v>0.34797092671108421</v>
      </c>
      <c r="K14" s="193">
        <f>'Historical Financial Statement'!K33/'Historical Financial Statement'!J33-1</f>
        <v>0.1680271599390899</v>
      </c>
      <c r="L14" s="193">
        <f>'Historical Financial Statement'!L33/'Historical Financial Statement'!K33-1</f>
        <v>1.2325496901047233</v>
      </c>
      <c r="M14" s="193">
        <f>'Historical Financial Statement'!M33/'Historical Financial Statement'!L33-1</f>
        <v>-0.17337570959496851</v>
      </c>
      <c r="N14" s="310"/>
      <c r="O14" s="310"/>
      <c r="P14" s="226">
        <f t="shared" si="0"/>
        <v>0.17497037100945689</v>
      </c>
      <c r="Q14" s="226">
        <f>MEDIAN(E14:L14)</f>
        <v>0.13783085155903185</v>
      </c>
    </row>
    <row r="15" spans="2:17" x14ac:dyDescent="0.25">
      <c r="B15" s="24" t="s">
        <v>126</v>
      </c>
      <c r="C15" s="24"/>
      <c r="D15" s="24"/>
      <c r="E15" s="193">
        <f>'Historical Financial Statement'!E39/'Historical Financial Statement'!D39-1</f>
        <v>-0.38484225874867439</v>
      </c>
      <c r="F15" s="193">
        <f>'Historical Financial Statement'!F39/'Historical Financial Statement'!E39-1</f>
        <v>-2.6396595377902177E-3</v>
      </c>
      <c r="G15" s="193">
        <f>'Historical Financial Statement'!G39/'Historical Financial Statement'!F39-1</f>
        <v>0.86664146051636592</v>
      </c>
      <c r="H15" s="193">
        <f>'Historical Financial Statement'!H39/'Historical Financial Statement'!G39-1</f>
        <v>2.1123296391678092E-2</v>
      </c>
      <c r="I15" s="193">
        <f>'Historical Financial Statement'!I39/'Historical Financial Statement'!H39-1</f>
        <v>-0.20666496642013088</v>
      </c>
      <c r="J15" s="193">
        <f>'Historical Financial Statement'!J39/'Historical Financial Statement'!I39-1</f>
        <v>-0.13955565080725818</v>
      </c>
      <c r="K15" s="193">
        <f>'Historical Financial Statement'!K39/'Historical Financial Statement'!J39-1</f>
        <v>9.6517082485781946E-2</v>
      </c>
      <c r="L15" s="193">
        <f>'Historical Financial Statement'!L39/'Historical Financial Statement'!K39-1</f>
        <v>1.9815249488907396</v>
      </c>
      <c r="M15" s="193">
        <f>'Historical Financial Statement'!M39/'Historical Financial Statement'!L39-1</f>
        <v>-0.22391243619371715</v>
      </c>
      <c r="N15" s="310"/>
      <c r="O15" s="310"/>
      <c r="P15" s="226">
        <f t="shared" si="0"/>
        <v>0.22313242406411055</v>
      </c>
      <c r="Q15" s="226">
        <f>MEDIAN(E15:L15)</f>
        <v>9.2418184269439374E-3</v>
      </c>
    </row>
    <row r="16" spans="2:17" ht="15.75" thickBot="1" x14ac:dyDescent="0.3">
      <c r="B16" s="111" t="s">
        <v>127</v>
      </c>
      <c r="C16" s="111"/>
      <c r="D16" s="111"/>
      <c r="E16" s="217">
        <f>'Historical Financial Statement'!E47/'Historical Financial Statement'!D47-1</f>
        <v>-4.5811453459543627E-2</v>
      </c>
      <c r="F16" s="217">
        <f>'Historical Financial Statement'!F47/'Historical Financial Statement'!E47-1</f>
        <v>-0.10761275084514399</v>
      </c>
      <c r="G16" s="217">
        <f>'Historical Financial Statement'!G47/'Historical Financial Statement'!F47-1</f>
        <v>-7.6952287250983575E-2</v>
      </c>
      <c r="H16" s="217">
        <f>'Historical Financial Statement'!H47/'Historical Financial Statement'!G47-1</f>
        <v>-6.5076186737962671E-2</v>
      </c>
      <c r="I16" s="217">
        <f>'Historical Financial Statement'!I47/'Historical Financial Statement'!H47-1</f>
        <v>-0.14375273930480592</v>
      </c>
      <c r="J16" s="217">
        <f>'Historical Financial Statement'!J47/'Historical Financial Statement'!I47-1</f>
        <v>-0.11044465388157021</v>
      </c>
      <c r="K16" s="217">
        <f>'Historical Financial Statement'!K47/'Historical Financial Statement'!J47-1</f>
        <v>-0.11115052250172053</v>
      </c>
      <c r="L16" s="217">
        <f>'Historical Financial Statement'!L47/'Historical Financial Statement'!K47-1</f>
        <v>-9.9986697410429093E-2</v>
      </c>
      <c r="M16" s="217">
        <f>'Historical Financial Statement'!M47/'Historical Financial Statement'!L47-1</f>
        <v>-9.084190710629958E-2</v>
      </c>
      <c r="N16" s="312"/>
      <c r="O16" s="312"/>
      <c r="P16" s="227">
        <f t="shared" si="0"/>
        <v>-9.4625466499828795E-2</v>
      </c>
      <c r="Q16" s="227">
        <f>MEDIAN(E16:L16)</f>
        <v>-0.10379972412778654</v>
      </c>
    </row>
    <row r="17" spans="2:17" x14ac:dyDescent="0.25">
      <c r="P17" s="228"/>
      <c r="Q17" s="228"/>
    </row>
    <row r="18" spans="2:17" x14ac:dyDescent="0.25">
      <c r="B18" s="129" t="s">
        <v>128</v>
      </c>
      <c r="C18" s="129"/>
      <c r="D18" s="216">
        <f>'Historical Financial Statement'!D19</f>
        <v>0.25634760788457095</v>
      </c>
      <c r="E18" s="216">
        <f>'Historical Financial Statement'!E19</f>
        <v>0.19758910887831713</v>
      </c>
      <c r="F18" s="216">
        <f>'Historical Financial Statement'!F19</f>
        <v>0.20949892918277582</v>
      </c>
      <c r="G18" s="216">
        <f>'Historical Financial Statement'!G19</f>
        <v>0.2379978780195553</v>
      </c>
      <c r="H18" s="216">
        <f>'Historical Financial Statement'!H19</f>
        <v>0.25945441351212295</v>
      </c>
      <c r="I18" s="216">
        <f>'Historical Financial Statement'!I19</f>
        <v>0.28860171517905586</v>
      </c>
      <c r="J18" s="216">
        <f>'Historical Financial Statement'!J19</f>
        <v>0.21404459364334011</v>
      </c>
      <c r="K18" s="216">
        <f>'Historical Financial Statement'!K19</f>
        <v>0.20842975093450905</v>
      </c>
      <c r="L18" s="216">
        <f>'Historical Financial Statement'!L19</f>
        <v>0.29311121517261168</v>
      </c>
      <c r="M18" s="216">
        <f>'Historical Financial Statement'!M19</f>
        <v>0.31590982830807313</v>
      </c>
      <c r="N18" s="311"/>
      <c r="O18" s="311"/>
      <c r="P18" s="225">
        <f>AVERAGE(D18:M18)</f>
        <v>0.24809850407149323</v>
      </c>
      <c r="Q18" s="225">
        <f>MEDIAN(D18:L18)</f>
        <v>0.2379978780195553</v>
      </c>
    </row>
    <row r="19" spans="2:17" x14ac:dyDescent="0.25">
      <c r="B19" s="24" t="s">
        <v>135</v>
      </c>
      <c r="C19" s="24"/>
      <c r="D19" s="133">
        <f>'Historical Financial Statement'!D25</f>
        <v>0.19923472850471233</v>
      </c>
      <c r="E19" s="133">
        <f>'Historical Financial Statement'!E25</f>
        <v>0.14561084901004756</v>
      </c>
      <c r="F19" s="133">
        <f>'Historical Financial Statement'!F25</f>
        <v>0.14486864897920543</v>
      </c>
      <c r="G19" s="133">
        <f>'Historical Financial Statement'!G25</f>
        <v>0.15374328963273551</v>
      </c>
      <c r="H19" s="133">
        <f>'Historical Financial Statement'!H25</f>
        <v>0.15627330608249998</v>
      </c>
      <c r="I19" s="133">
        <f>'Historical Financial Statement'!I25</f>
        <v>0.16615448620758427</v>
      </c>
      <c r="J19" s="133">
        <f>'Historical Financial Statement'!J25</f>
        <v>0.12153200138770327</v>
      </c>
      <c r="K19" s="133">
        <f>'Historical Financial Statement'!K25</f>
        <v>0.12170753860127158</v>
      </c>
      <c r="L19" s="133">
        <f>'Historical Financial Statement'!L25</f>
        <v>0.19844589957521402</v>
      </c>
      <c r="M19" s="133">
        <f>'Historical Financial Statement'!M25</f>
        <v>0.16974830334624591</v>
      </c>
      <c r="N19" s="310"/>
      <c r="O19" s="310"/>
      <c r="P19" s="226">
        <f t="shared" ref="P19:P22" si="1">AVERAGE(D19:M19)</f>
        <v>0.15773190513272201</v>
      </c>
      <c r="Q19" s="226">
        <f>MEDIAN(D19:L19)</f>
        <v>0.15374328963273551</v>
      </c>
    </row>
    <row r="20" spans="2:17" x14ac:dyDescent="0.25">
      <c r="B20" s="24" t="s">
        <v>129</v>
      </c>
      <c r="C20" s="24"/>
      <c r="D20" s="133">
        <f>('Historical Financial Statement'!D33+'Historical Financial Statement'!D27)/'Historical Financial Statement'!D12</f>
        <v>0.15680728438677394</v>
      </c>
      <c r="E20" s="133">
        <f>('Historical Financial Statement'!E33+'Historical Financial Statement'!E27)/'Historical Financial Statement'!E12</f>
        <v>0.10729584081801852</v>
      </c>
      <c r="F20" s="133">
        <f>('Historical Financial Statement'!F33+'Historical Financial Statement'!F27)/'Historical Financial Statement'!F12</f>
        <v>0.10212295591610525</v>
      </c>
      <c r="G20" s="133">
        <f>('Historical Financial Statement'!G33+'Historical Financial Statement'!G27)/'Historical Financial Statement'!G12</f>
        <v>0.11690950967471764</v>
      </c>
      <c r="H20" s="133">
        <f>('Historical Financial Statement'!H33+'Historical Financial Statement'!H27)/'Historical Financial Statement'!H12</f>
        <v>0.11906234340407489</v>
      </c>
      <c r="I20" s="133">
        <f>('Historical Financial Statement'!I33+'Historical Financial Statement'!I27)/'Historical Financial Statement'!I12</f>
        <v>0.10917056788767915</v>
      </c>
      <c r="J20" s="133">
        <f>('Historical Financial Statement'!J33+'Historical Financial Statement'!J27)/'Historical Financial Statement'!J12</f>
        <v>7.8660031410462183E-2</v>
      </c>
      <c r="K20" s="133">
        <f>('Historical Financial Statement'!K33+'Historical Financial Statement'!K27)/'Historical Financial Statement'!K12</f>
        <v>7.572033646890218E-2</v>
      </c>
      <c r="L20" s="133">
        <f>('Historical Financial Statement'!L33+'Historical Financial Statement'!L27)/'Historical Financial Statement'!L12</f>
        <v>0.14190565280115144</v>
      </c>
      <c r="M20" s="133">
        <f>('Historical Financial Statement'!M33+'Historical Financial Statement'!M27)/'Historical Financial Statement'!M12</f>
        <v>0.1146675678169117</v>
      </c>
      <c r="N20" s="310"/>
      <c r="O20" s="310"/>
      <c r="P20" s="226">
        <f t="shared" si="1"/>
        <v>0.11223220905847971</v>
      </c>
      <c r="Q20" s="226">
        <f>MEDIAN(D20:L20)</f>
        <v>0.10917056788767915</v>
      </c>
    </row>
    <row r="21" spans="2:17" x14ac:dyDescent="0.25">
      <c r="B21" s="24" t="s">
        <v>131</v>
      </c>
      <c r="C21" s="24"/>
      <c r="D21" s="133">
        <f>'Historical Financial Statement'!D34</f>
        <v>0.14326645462116125</v>
      </c>
      <c r="E21" s="133">
        <f>'Historical Financial Statement'!E34</f>
        <v>9.4632740480467437E-2</v>
      </c>
      <c r="F21" s="133">
        <f>'Historical Financial Statement'!F34</f>
        <v>8.1520279000979981E-2</v>
      </c>
      <c r="G21" s="133">
        <f>'Historical Financial Statement'!G34</f>
        <v>8.7886236511084098E-2</v>
      </c>
      <c r="H21" s="133">
        <f>'Historical Financial Statement'!H34</f>
        <v>8.2146346695626968E-2</v>
      </c>
      <c r="I21" s="133">
        <f>'Historical Financial Statement'!I34</f>
        <v>6.3730546614140474E-2</v>
      </c>
      <c r="J21" s="133">
        <f>'Historical Financial Statement'!J34</f>
        <v>5.7665980972342386E-2</v>
      </c>
      <c r="K21" s="133">
        <f>'Historical Financial Statement'!K34</f>
        <v>5.3389107207244213E-2</v>
      </c>
      <c r="L21" s="133">
        <f>'Historical Financial Statement'!L34</f>
        <v>0.11619158636814117</v>
      </c>
      <c r="M21" s="133">
        <f>'Historical Financial Statement'!M34</f>
        <v>8.9510341632001056E-2</v>
      </c>
      <c r="N21" s="310"/>
      <c r="O21" s="310"/>
      <c r="P21" s="226">
        <f t="shared" si="1"/>
        <v>8.699396201031892E-2</v>
      </c>
      <c r="Q21" s="226">
        <f>MEDIAN(D21:L21)</f>
        <v>8.2146346695626968E-2</v>
      </c>
    </row>
    <row r="22" spans="2:17" ht="15.75" thickBot="1" x14ac:dyDescent="0.3">
      <c r="B22" s="111" t="s">
        <v>130</v>
      </c>
      <c r="C22" s="111"/>
      <c r="D22" s="144">
        <f>'Historical Financial Statement'!D40</f>
        <v>0.14886511072631928</v>
      </c>
      <c r="E22" s="144">
        <f>'Historical Financial Statement'!E40</f>
        <v>7.6110309312165836E-2</v>
      </c>
      <c r="F22" s="144">
        <f>'Historical Financial Statement'!F40</f>
        <v>5.9926330167731579E-2</v>
      </c>
      <c r="G22" s="144">
        <f>'Historical Financial Statement'!G40</f>
        <v>7.9799295270554224E-2</v>
      </c>
      <c r="H22" s="144">
        <f>'Historical Financial Statement'!H40</f>
        <v>7.9863217069351025E-2</v>
      </c>
      <c r="I22" s="144">
        <f>'Historical Financial Statement'!I40</f>
        <v>8.439393482651554E-2</v>
      </c>
      <c r="J22" s="144">
        <f>'Historical Financial Statement'!J40</f>
        <v>4.4120502141096224E-2</v>
      </c>
      <c r="K22" s="144">
        <f>'Historical Financial Statement'!K40</f>
        <v>3.8075386786482909E-2</v>
      </c>
      <c r="L22" s="144">
        <f>'Historical Financial Statement'!L40</f>
        <v>0.12392017900245782</v>
      </c>
      <c r="M22" s="144">
        <f>'Historical Financial Statement'!M40</f>
        <v>9.2614901119349266E-2</v>
      </c>
      <c r="N22" s="312"/>
      <c r="O22" s="312"/>
      <c r="P22" s="227">
        <f t="shared" si="1"/>
        <v>8.2768916642202359E-2</v>
      </c>
      <c r="Q22" s="227">
        <f>MEDIAN(D22:L22)</f>
        <v>7.9799295270554224E-2</v>
      </c>
    </row>
    <row r="23" spans="2:17" x14ac:dyDescent="0.25">
      <c r="P23" s="229"/>
      <c r="Q23" s="229"/>
    </row>
    <row r="24" spans="2:17" x14ac:dyDescent="0.25">
      <c r="B24" s="129" t="s">
        <v>132</v>
      </c>
      <c r="C24" s="129"/>
      <c r="D24" s="216">
        <f>'Historical Financial Statement'!D22</f>
        <v>5.7112879379858615E-2</v>
      </c>
      <c r="E24" s="216">
        <f>'Historical Financial Statement'!E22</f>
        <v>5.1978259868269538E-2</v>
      </c>
      <c r="F24" s="216">
        <f>'Historical Financial Statement'!F22</f>
        <v>6.4630280203570409E-2</v>
      </c>
      <c r="G24" s="216">
        <f>'Historical Financial Statement'!G22</f>
        <v>8.425458838681979E-2</v>
      </c>
      <c r="H24" s="216">
        <f>'Historical Financial Statement'!H22</f>
        <v>0.10318110742962296</v>
      </c>
      <c r="I24" s="216">
        <f>'Historical Financial Statement'!I22</f>
        <v>0.12244722897147159</v>
      </c>
      <c r="J24" s="216">
        <f>'Historical Financial Statement'!J22</f>
        <v>9.2512592255636822E-2</v>
      </c>
      <c r="K24" s="216">
        <f>'Historical Financial Statement'!K22</f>
        <v>8.6722212333237486E-2</v>
      </c>
      <c r="L24" s="216">
        <f>'Historical Financial Statement'!L22</f>
        <v>9.4665315597397673E-2</v>
      </c>
      <c r="M24" s="216">
        <f>'Historical Financial Statement'!M22</f>
        <v>0.14616152496182724</v>
      </c>
      <c r="N24" s="311"/>
      <c r="O24" s="311"/>
      <c r="P24" s="225">
        <f>AVERAGE(D24:M24)</f>
        <v>9.036659893877122E-2</v>
      </c>
      <c r="Q24" s="225">
        <f>MEDIAN(D24:L24)</f>
        <v>8.6722212333237486E-2</v>
      </c>
    </row>
    <row r="25" spans="2:17" x14ac:dyDescent="0.25">
      <c r="B25" s="24" t="s">
        <v>133</v>
      </c>
      <c r="C25" s="24"/>
      <c r="D25" s="133">
        <f>'Historical Financial Statement'!D31</f>
        <v>4.242744411793839E-2</v>
      </c>
      <c r="E25" s="133">
        <f>'Historical Financial Statement'!E31</f>
        <v>3.8315008192029057E-2</v>
      </c>
      <c r="F25" s="133">
        <f>'Historical Financial Statement'!F31</f>
        <v>4.2745693063100179E-2</v>
      </c>
      <c r="G25" s="133">
        <f>'Historical Financial Statement'!G31</f>
        <v>3.6833779958017863E-2</v>
      </c>
      <c r="H25" s="133">
        <f>'Historical Financial Statement'!H31</f>
        <v>3.721096267842508E-2</v>
      </c>
      <c r="I25" s="133">
        <f>'Historical Financial Statement'!I31</f>
        <v>5.6983918319905125E-2</v>
      </c>
      <c r="J25" s="133">
        <f>'Historical Financial Statement'!J31</f>
        <v>4.2871969977241089E-2</v>
      </c>
      <c r="K25" s="133">
        <f>'Historical Financial Statement'!K31</f>
        <v>4.5987202132369384E-2</v>
      </c>
      <c r="L25" s="133">
        <f>'Historical Financial Statement'!L31</f>
        <v>5.6540246774062587E-2</v>
      </c>
      <c r="M25" s="133">
        <f>'Historical Financial Statement'!M31</f>
        <v>5.50807355293342E-2</v>
      </c>
      <c r="N25" s="310"/>
      <c r="O25" s="310"/>
      <c r="P25" s="226">
        <f t="shared" ref="P25:P47" si="2">AVERAGE(D25:M25)</f>
        <v>4.5499696074242299E-2</v>
      </c>
      <c r="Q25" s="226">
        <f>MEDIAN(D25:L25)</f>
        <v>4.2745693063100179E-2</v>
      </c>
    </row>
    <row r="26" spans="2:17" ht="15.75" thickBot="1" x14ac:dyDescent="0.3">
      <c r="B26" s="111" t="s">
        <v>134</v>
      </c>
      <c r="C26" s="111"/>
      <c r="D26" s="144">
        <f>D20</f>
        <v>0.15680728438677394</v>
      </c>
      <c r="E26" s="144">
        <f t="shared" ref="E26:L26" si="3">E20</f>
        <v>0.10729584081801852</v>
      </c>
      <c r="F26" s="144">
        <f t="shared" si="3"/>
        <v>0.10212295591610525</v>
      </c>
      <c r="G26" s="144">
        <f t="shared" si="3"/>
        <v>0.11690950967471764</v>
      </c>
      <c r="H26" s="144">
        <f t="shared" si="3"/>
        <v>0.11906234340407489</v>
      </c>
      <c r="I26" s="144">
        <f t="shared" si="3"/>
        <v>0.10917056788767915</v>
      </c>
      <c r="J26" s="144">
        <f t="shared" si="3"/>
        <v>7.8660031410462183E-2</v>
      </c>
      <c r="K26" s="144">
        <f t="shared" si="3"/>
        <v>7.572033646890218E-2</v>
      </c>
      <c r="L26" s="144">
        <f t="shared" si="3"/>
        <v>0.14190565280115144</v>
      </c>
      <c r="M26" s="144">
        <f t="shared" ref="M26" si="4">M20</f>
        <v>0.1146675678169117</v>
      </c>
      <c r="N26" s="312"/>
      <c r="O26" s="312"/>
      <c r="P26" s="227">
        <f t="shared" si="2"/>
        <v>0.11223220905847971</v>
      </c>
      <c r="Q26" s="227">
        <f>MEDIAN(D26:L26)</f>
        <v>0.10917056788767915</v>
      </c>
    </row>
    <row r="27" spans="2:17" x14ac:dyDescent="0.25">
      <c r="P27" s="229"/>
      <c r="Q27" s="229"/>
    </row>
    <row r="28" spans="2:17" x14ac:dyDescent="0.25">
      <c r="B28" s="129" t="s">
        <v>138</v>
      </c>
      <c r="C28" s="129"/>
      <c r="D28" s="216">
        <f>'Historical Financial Statement'!D25</f>
        <v>0.19923472850471233</v>
      </c>
      <c r="E28" s="216">
        <f>'Historical Financial Statement'!E25</f>
        <v>0.14561084901004756</v>
      </c>
      <c r="F28" s="216">
        <f>'Historical Financial Statement'!F25</f>
        <v>0.14486864897920543</v>
      </c>
      <c r="G28" s="216">
        <f>'Historical Financial Statement'!G25</f>
        <v>0.15374328963273551</v>
      </c>
      <c r="H28" s="216">
        <f>'Historical Financial Statement'!H25</f>
        <v>0.15627330608249998</v>
      </c>
      <c r="I28" s="216">
        <f>'Historical Financial Statement'!I25</f>
        <v>0.16615448620758427</v>
      </c>
      <c r="J28" s="216">
        <f>'Historical Financial Statement'!J25</f>
        <v>0.12153200138770327</v>
      </c>
      <c r="K28" s="216">
        <f>'Historical Financial Statement'!K25</f>
        <v>0.12170753860127158</v>
      </c>
      <c r="L28" s="216">
        <f>'Historical Financial Statement'!L25</f>
        <v>0.19844589957521402</v>
      </c>
      <c r="M28" s="216">
        <f>'Historical Financial Statement'!M25</f>
        <v>0.16974830334624591</v>
      </c>
      <c r="N28" s="311"/>
      <c r="O28" s="311"/>
      <c r="P28" s="225">
        <f t="shared" si="2"/>
        <v>0.15773190513272201</v>
      </c>
      <c r="Q28" s="225">
        <f>MEDIAN(D28:L28)</f>
        <v>0.15374328963273551</v>
      </c>
    </row>
    <row r="29" spans="2:17" x14ac:dyDescent="0.25">
      <c r="B29" s="24" t="s">
        <v>139</v>
      </c>
      <c r="C29" s="24"/>
      <c r="D29" s="218">
        <f>'Historical Financial Statement'!D50</f>
        <v>0.97953545509684914</v>
      </c>
      <c r="E29" s="218">
        <f>'Historical Financial Statement'!E50</f>
        <v>0.96815033504563974</v>
      </c>
      <c r="F29" s="218">
        <f>'Historical Financial Statement'!F50</f>
        <v>0.97223859199000184</v>
      </c>
      <c r="G29" s="218">
        <f>'Historical Financial Statement'!G50</f>
        <v>0.98626324247106523</v>
      </c>
      <c r="H29" s="218">
        <f>'Historical Financial Statement'!H50</f>
        <v>0.98742182606211781</v>
      </c>
      <c r="I29" s="218">
        <f>'Historical Financial Statement'!I50</f>
        <v>0.9872724091274292</v>
      </c>
      <c r="J29" s="218">
        <f>'Historical Financial Statement'!J50</f>
        <v>0.98595873634962394</v>
      </c>
      <c r="K29" s="218">
        <f>'Historical Financial Statement'!K50</f>
        <v>0.98861681091063214</v>
      </c>
      <c r="L29" s="218">
        <f>'Historical Financial Statement'!L50</f>
        <v>0.99656378088056385</v>
      </c>
      <c r="M29" s="218">
        <f>'Historical Financial Statement'!M50</f>
        <v>0.99597429794983827</v>
      </c>
      <c r="N29" s="310"/>
      <c r="O29" s="310"/>
      <c r="P29" s="226">
        <f t="shared" si="2"/>
        <v>0.98479954858837604</v>
      </c>
      <c r="Q29" s="226">
        <f>MEDIAN(D29:L29)</f>
        <v>0.98626324247106523</v>
      </c>
    </row>
    <row r="30" spans="2:17" x14ac:dyDescent="0.25">
      <c r="B30" s="24" t="s">
        <v>32</v>
      </c>
      <c r="C30" s="24"/>
      <c r="D30" s="133">
        <f>'Historical Financial Statement'!D40</f>
        <v>0.14886511072631928</v>
      </c>
      <c r="E30" s="133">
        <f>'Historical Financial Statement'!E40</f>
        <v>7.6110309312165836E-2</v>
      </c>
      <c r="F30" s="133">
        <f>'Historical Financial Statement'!F40</f>
        <v>5.9926330167731579E-2</v>
      </c>
      <c r="G30" s="133">
        <f>'Historical Financial Statement'!G40</f>
        <v>7.9799295270554224E-2</v>
      </c>
      <c r="H30" s="133">
        <f>'Historical Financial Statement'!H40</f>
        <v>7.9863217069351025E-2</v>
      </c>
      <c r="I30" s="133">
        <f>'Historical Financial Statement'!I40</f>
        <v>8.439393482651554E-2</v>
      </c>
      <c r="J30" s="133">
        <f>'Historical Financial Statement'!J40</f>
        <v>4.4120502141096224E-2</v>
      </c>
      <c r="K30" s="133">
        <f>'Historical Financial Statement'!K40</f>
        <v>3.8075386786482909E-2</v>
      </c>
      <c r="L30" s="133">
        <f>'Historical Financial Statement'!L40</f>
        <v>0.12392017900245782</v>
      </c>
      <c r="M30" s="133">
        <f>'Historical Financial Statement'!M40</f>
        <v>9.2614901119349266E-2</v>
      </c>
      <c r="N30" s="310"/>
      <c r="O30" s="310"/>
      <c r="P30" s="226">
        <f t="shared" si="2"/>
        <v>8.2768916642202359E-2</v>
      </c>
      <c r="Q30" s="226">
        <f>MEDIAN(D30:L30)</f>
        <v>7.9799295270554224E-2</v>
      </c>
    </row>
    <row r="31" spans="2:17" x14ac:dyDescent="0.25">
      <c r="B31" s="24" t="s">
        <v>140</v>
      </c>
      <c r="C31" s="24"/>
      <c r="D31" s="133">
        <f>D30*D29</f>
        <v>0.14581865398334798</v>
      </c>
      <c r="E31" s="133">
        <f t="shared" ref="E31:L31" si="5">E30*E29</f>
        <v>7.3686221461000623E-2</v>
      </c>
      <c r="F31" s="133">
        <f t="shared" si="5"/>
        <v>5.8262690865403324E-2</v>
      </c>
      <c r="G31" s="133">
        <f t="shared" si="5"/>
        <v>7.8703111700442752E-2</v>
      </c>
      <c r="H31" s="133">
        <f t="shared" si="5"/>
        <v>7.8858683633813889E-2</v>
      </c>
      <c r="I31" s="133">
        <f t="shared" si="5"/>
        <v>8.3319803351917243E-2</v>
      </c>
      <c r="J31" s="133">
        <f t="shared" si="5"/>
        <v>4.3500994538146112E-2</v>
      </c>
      <c r="K31" s="133">
        <f t="shared" si="5"/>
        <v>3.7641967459041553E-2</v>
      </c>
      <c r="L31" s="133">
        <f t="shared" si="5"/>
        <v>0.12349436211408563</v>
      </c>
      <c r="M31" s="133">
        <f t="shared" ref="M31" si="6">M30*M29</f>
        <v>9.2242061122037575E-2</v>
      </c>
      <c r="N31" s="310"/>
      <c r="O31" s="310"/>
      <c r="P31" s="226">
        <f t="shared" si="2"/>
        <v>8.155285502292367E-2</v>
      </c>
      <c r="Q31" s="226">
        <f>MEDIAN(D31:L31)</f>
        <v>7.8703111700442752E-2</v>
      </c>
    </row>
    <row r="32" spans="2:17" ht="15.75" thickBot="1" x14ac:dyDescent="0.3">
      <c r="B32" s="111" t="s">
        <v>141</v>
      </c>
      <c r="C32" s="111"/>
      <c r="D32" s="219">
        <f>('Historical Financial Statement'!D24-'Historical Financial Statement'!D30)/'Historical Financial Statement'!D27</f>
        <v>11.580330533730697</v>
      </c>
      <c r="E32" s="219">
        <f>('Historical Financial Statement'!E24-'Historical Financial Statement'!E30)/'Historical Financial Statement'!E27</f>
        <v>8.4731098986749807</v>
      </c>
      <c r="F32" s="219">
        <f>('Historical Financial Statement'!F24-'Historical Financial Statement'!F30)/'Historical Financial Statement'!F27</f>
        <v>4.9567809239940388</v>
      </c>
      <c r="G32" s="219">
        <f>('Historical Financial Statement'!G24-'Historical Financial Statement'!G30)/'Historical Financial Statement'!G27</f>
        <v>4.0281297362837227</v>
      </c>
      <c r="H32" s="219">
        <f>('Historical Financial Statement'!H24-'Historical Financial Statement'!H30)/'Historical Financial Statement'!H27</f>
        <v>3.2252235892313976</v>
      </c>
      <c r="I32" s="219">
        <f>('Historical Financial Statement'!I24-'Historical Financial Statement'!I30)/'Historical Financial Statement'!I27</f>
        <v>2.4025201755627918</v>
      </c>
      <c r="J32" s="219">
        <f>('Historical Financial Statement'!J24-'Historical Financial Statement'!J30)/'Historical Financial Statement'!J27</f>
        <v>3.7467772901810203</v>
      </c>
      <c r="K32" s="219">
        <f>('Historical Financial Statement'!K24-'Historical Financial Statement'!K30)/'Historical Financial Statement'!K27</f>
        <v>3.3907822799039393</v>
      </c>
      <c r="L32" s="219">
        <f>('Historical Financial Statement'!L24-'Historical Financial Statement'!L30)/'Historical Financial Statement'!L27</f>
        <v>5.5186002249329524</v>
      </c>
      <c r="M32" s="219">
        <f>('Historical Financial Statement'!M24-'Historical Financial Statement'!M30)/'Historical Financial Statement'!M27</f>
        <v>4.5580370019366265</v>
      </c>
      <c r="N32" s="312"/>
      <c r="O32" s="312"/>
      <c r="P32" s="227">
        <f t="shared" si="2"/>
        <v>5.1880291654432167</v>
      </c>
      <c r="Q32" s="227">
        <f>MEDIAN(D32:L32)</f>
        <v>4.0281297362837227</v>
      </c>
    </row>
    <row r="33" spans="2:18" x14ac:dyDescent="0.25">
      <c r="N33" s="313"/>
      <c r="O33" s="313"/>
      <c r="P33" s="229"/>
      <c r="Q33" s="229"/>
    </row>
    <row r="34" spans="2:18" x14ac:dyDescent="0.25">
      <c r="B34" s="129" t="s">
        <v>142</v>
      </c>
      <c r="C34" s="129"/>
      <c r="D34" s="220">
        <f>'Historical Financial Statement'!D12/'Historical Financial Statement'!D65</f>
        <v>61.048824188129899</v>
      </c>
      <c r="E34" s="220">
        <f>'Historical Financial Statement'!E12/'Historical Financial Statement'!E65</f>
        <v>37.171823407117522</v>
      </c>
      <c r="F34" s="220">
        <f>'Historical Financial Statement'!F12/'Historical Financial Statement'!F65</f>
        <v>22.262774138422103</v>
      </c>
      <c r="G34" s="220">
        <f>'Historical Financial Statement'!G12/'Historical Financial Statement'!G65</f>
        <v>18.88853069227957</v>
      </c>
      <c r="H34" s="220">
        <f>'Historical Financial Statement'!H12/'Historical Financial Statement'!H65</f>
        <v>30.356074481074479</v>
      </c>
      <c r="I34" s="220">
        <f>'Historical Financial Statement'!I12/'Historical Financial Statement'!I65</f>
        <v>24.524403071421059</v>
      </c>
      <c r="J34" s="220">
        <f>'Historical Financial Statement'!J12/'Historical Financial Statement'!J65</f>
        <v>29.385490693739424</v>
      </c>
      <c r="K34" s="220">
        <f>'Historical Financial Statement'!K12/'Historical Financial Statement'!K65</f>
        <v>30.806946006749158</v>
      </c>
      <c r="L34" s="220">
        <f>'Historical Financial Statement'!L12/'Historical Financial Statement'!L65</f>
        <v>28.425477425066397</v>
      </c>
      <c r="M34" s="220">
        <f>'Historical Financial Statement'!M12/'Historical Financial Statement'!M65</f>
        <v>22.90289879157665</v>
      </c>
      <c r="N34" s="311"/>
      <c r="O34" s="311"/>
      <c r="P34" s="230">
        <f t="shared" si="2"/>
        <v>30.577324289557623</v>
      </c>
      <c r="Q34" s="230">
        <f>MEDIAN(D34:L34)</f>
        <v>29.385490693739424</v>
      </c>
      <c r="R34" s="50"/>
    </row>
    <row r="35" spans="2:18" x14ac:dyDescent="0.25">
      <c r="B35" s="24" t="s">
        <v>143</v>
      </c>
      <c r="C35" s="24"/>
      <c r="D35" s="221">
        <f>'Historical Financial Statement'!D12/'Historical Financial Statement'!D56</f>
        <v>1.5781145970230479</v>
      </c>
      <c r="E35" s="221">
        <f>'Historical Financial Statement'!E12/'Historical Financial Statement'!E56</f>
        <v>1.3472063399196872</v>
      </c>
      <c r="F35" s="221">
        <f>'Historical Financial Statement'!F12/'Historical Financial Statement'!F56</f>
        <v>1.4062225644420776</v>
      </c>
      <c r="G35" s="221">
        <f>'Historical Financial Statement'!G12/'Historical Financial Statement'!G56</f>
        <v>1.8769137792103143</v>
      </c>
      <c r="H35" s="221">
        <f>'Historical Financial Statement'!H12/'Historical Financial Statement'!H56</f>
        <v>1.6633743685812732</v>
      </c>
      <c r="I35" s="221">
        <f>'Historical Financial Statement'!I12/'Historical Financial Statement'!I56</f>
        <v>1.3677459661925726</v>
      </c>
      <c r="J35" s="221">
        <f>'Historical Financial Statement'!J12/'Historical Financial Statement'!J56</f>
        <v>1.7367736806182326</v>
      </c>
      <c r="K35" s="221">
        <f>'Historical Financial Statement'!K12/'Historical Financial Statement'!K56</f>
        <v>1.9993247343422775</v>
      </c>
      <c r="L35" s="221">
        <f>'Historical Financial Statement'!L12/'Historical Financial Statement'!L56</f>
        <v>1.7888657635860048</v>
      </c>
      <c r="M35" s="221">
        <f>'Historical Financial Statement'!M12/'Historical Financial Statement'!M56</f>
        <v>1.3083315024425439</v>
      </c>
      <c r="N35" s="310"/>
      <c r="O35" s="310"/>
      <c r="P35" s="231">
        <f t="shared" si="2"/>
        <v>1.6072873296358032</v>
      </c>
      <c r="Q35" s="231">
        <f>MEDIAN(D35:L35)</f>
        <v>1.6633743685812732</v>
      </c>
      <c r="R35" s="50"/>
    </row>
    <row r="36" spans="2:18" x14ac:dyDescent="0.25">
      <c r="B36" s="24" t="s">
        <v>144</v>
      </c>
      <c r="C36" s="24"/>
      <c r="D36" s="221">
        <f>'Historical Financial Statement'!D12/'Historical Financial Statement'!D66</f>
        <v>5.8637654347545496</v>
      </c>
      <c r="E36" s="221">
        <f>'Historical Financial Statement'!E12/'Historical Financial Statement'!E66</f>
        <v>6.2093522093522093</v>
      </c>
      <c r="F36" s="221">
        <f>'Historical Financial Statement'!F12/'Historical Financial Statement'!F66</f>
        <v>6.4241004651774416</v>
      </c>
      <c r="G36" s="221">
        <f>'Historical Financial Statement'!G12/'Historical Financial Statement'!G66</f>
        <v>8.41220526635189</v>
      </c>
      <c r="H36" s="221">
        <f>'Historical Financial Statement'!H12/'Historical Financial Statement'!H66</f>
        <v>8.0738129710566557</v>
      </c>
      <c r="I36" s="221">
        <f>'Historical Financial Statement'!I12/'Historical Financial Statement'!I66</f>
        <v>5.7095087667744151</v>
      </c>
      <c r="J36" s="221">
        <f>'Historical Financial Statement'!J12/'Historical Financial Statement'!J66</f>
        <v>6.4454062981313438</v>
      </c>
      <c r="K36" s="221">
        <f>'Historical Financial Statement'!K12/'Historical Financial Statement'!K66</f>
        <v>6.2596137363579221</v>
      </c>
      <c r="L36" s="221">
        <f>'Historical Financial Statement'!L12/'Historical Financial Statement'!L66</f>
        <v>5.8849315965176405</v>
      </c>
      <c r="M36" s="221">
        <f>'Historical Financial Statement'!M12/'Historical Financial Statement'!M66</f>
        <v>6.6046815735783433</v>
      </c>
      <c r="N36" s="310"/>
      <c r="O36" s="310"/>
      <c r="P36" s="231">
        <f t="shared" si="2"/>
        <v>6.5887378318052416</v>
      </c>
      <c r="Q36" s="231">
        <f>MEDIAN(D36:L36)</f>
        <v>6.2596137363579221</v>
      </c>
      <c r="R36" s="50"/>
    </row>
    <row r="37" spans="2:18" x14ac:dyDescent="0.25">
      <c r="B37" s="24" t="s">
        <v>145</v>
      </c>
      <c r="C37" s="24"/>
      <c r="D37" s="221">
        <f>'Historical Financial Statement'!D12/'Historical Financial Statement'!D59</f>
        <v>1.4741387702125359</v>
      </c>
      <c r="E37" s="221">
        <f>'Historical Financial Statement'!E12/'Historical Financial Statement'!E59</f>
        <v>1.5310538669997884</v>
      </c>
      <c r="F37" s="221">
        <f>'Historical Financial Statement'!F12/'Historical Financial Statement'!F59</f>
        <v>0.96765911088552437</v>
      </c>
      <c r="G37" s="221">
        <f>'Historical Financial Statement'!G12/'Historical Financial Statement'!G59</f>
        <v>1.4266417989125797</v>
      </c>
      <c r="H37" s="221">
        <f>'Historical Financial Statement'!H12/'Historical Financial Statement'!H59</f>
        <v>1.1201915675724385</v>
      </c>
      <c r="I37" s="221">
        <f>'Historical Financial Statement'!I12/'Historical Financial Statement'!I59</f>
        <v>0.86152444859937405</v>
      </c>
      <c r="J37" s="221">
        <f>'Historical Financial Statement'!J12/'Historical Financial Statement'!J59</f>
        <v>1.1065231173084336</v>
      </c>
      <c r="K37" s="221">
        <f>'Historical Financial Statement'!K12/'Historical Financial Statement'!K59</f>
        <v>1.2091472878912259</v>
      </c>
      <c r="L37" s="221">
        <f>'Historical Financial Statement'!L12/'Historical Financial Statement'!L59</f>
        <v>1.1526388327980666</v>
      </c>
      <c r="M37" s="221">
        <f>'Historical Financial Statement'!M12/'Historical Financial Statement'!M59</f>
        <v>0.88338533077054804</v>
      </c>
      <c r="N37" s="310"/>
      <c r="O37" s="310"/>
      <c r="P37" s="231">
        <f t="shared" si="2"/>
        <v>1.1732904131950515</v>
      </c>
      <c r="Q37" s="231">
        <f>MEDIAN(D37:L37)</f>
        <v>1.1526388327980666</v>
      </c>
      <c r="R37" s="50"/>
    </row>
    <row r="38" spans="2:18" ht="15.75" thickBot="1" x14ac:dyDescent="0.3">
      <c r="B38" s="111" t="s">
        <v>146</v>
      </c>
      <c r="C38" s="111"/>
      <c r="D38" s="219">
        <f>'Historical Financial Statement'!D12/(SUM('Historical Financial Statement'!D53:D54))</f>
        <v>1.1771796023424139</v>
      </c>
      <c r="E38" s="219">
        <f>'Historical Financial Statement'!E12/(SUM('Historical Financial Statement'!E53:E54))</f>
        <v>1.1526114012035995</v>
      </c>
      <c r="F38" s="219">
        <f>'Historical Financial Statement'!F12/(SUM('Historical Financial Statement'!F53:F54))</f>
        <v>1.3315673274140905</v>
      </c>
      <c r="G38" s="219">
        <f>'Historical Financial Statement'!G12/(SUM('Historical Financial Statement'!G53:G54))</f>
        <v>1.4681461695839964</v>
      </c>
      <c r="H38" s="219">
        <f>'Historical Financial Statement'!H12/(SUM('Historical Financial Statement'!H53:H54))</f>
        <v>1.3284153297444596</v>
      </c>
      <c r="I38" s="219">
        <f>'Historical Financial Statement'!I12/(SUM('Historical Financial Statement'!I53:I54))</f>
        <v>0.66598921407882639</v>
      </c>
      <c r="J38" s="219">
        <f>'Historical Financial Statement'!J12/(SUM('Historical Financial Statement'!J53:J54))</f>
        <v>0.89119482735395805</v>
      </c>
      <c r="K38" s="219">
        <f>'Historical Financial Statement'!K12/(SUM('Historical Financial Statement'!K53:K54))</f>
        <v>1.224235617540566</v>
      </c>
      <c r="L38" s="219">
        <f>'Historical Financial Statement'!L12/(SUM('Historical Financial Statement'!L53:L54))</f>
        <v>1.133034061307076</v>
      </c>
      <c r="M38" s="219">
        <f>'Historical Financial Statement'!M12/(SUM('Historical Financial Statement'!M53:M54))</f>
        <v>1.1440856261859582</v>
      </c>
      <c r="N38" s="312"/>
      <c r="O38" s="312"/>
      <c r="P38" s="232">
        <f t="shared" si="2"/>
        <v>1.1516459176754945</v>
      </c>
      <c r="Q38" s="232">
        <f>MEDIAN(D38:L38)</f>
        <v>1.1771796023424139</v>
      </c>
      <c r="R38" s="50"/>
    </row>
    <row r="39" spans="2:18" x14ac:dyDescent="0.25">
      <c r="N39" s="313"/>
      <c r="O39" s="313"/>
      <c r="P39" s="229"/>
      <c r="Q39" s="229"/>
    </row>
    <row r="40" spans="2:18" x14ac:dyDescent="0.25">
      <c r="B40" s="129" t="s">
        <v>31</v>
      </c>
      <c r="C40" s="129"/>
      <c r="D40" s="222">
        <f>365/D34</f>
        <v>5.9788211297109504</v>
      </c>
      <c r="E40" s="222">
        <f t="shared" ref="E40:L40" si="7">365/E34</f>
        <v>9.8192654151615049</v>
      </c>
      <c r="F40" s="222">
        <f t="shared" si="7"/>
        <v>16.395081661007669</v>
      </c>
      <c r="G40" s="222">
        <f t="shared" si="7"/>
        <v>19.323895857563382</v>
      </c>
      <c r="H40" s="222">
        <f t="shared" si="7"/>
        <v>12.023952577516555</v>
      </c>
      <c r="I40" s="222">
        <f t="shared" si="7"/>
        <v>14.883134930421374</v>
      </c>
      <c r="J40" s="222">
        <f t="shared" si="7"/>
        <v>12.421095968894718</v>
      </c>
      <c r="K40" s="222">
        <f t="shared" si="7"/>
        <v>11.847977398345041</v>
      </c>
      <c r="L40" s="222">
        <f t="shared" si="7"/>
        <v>12.840593476826974</v>
      </c>
      <c r="M40" s="222">
        <f t="shared" ref="M40" si="8">365/M34</f>
        <v>15.936847266436057</v>
      </c>
      <c r="N40" s="311"/>
      <c r="O40" s="311"/>
      <c r="P40" s="233">
        <f t="shared" si="2"/>
        <v>13.147066568188421</v>
      </c>
      <c r="Q40" s="233">
        <f>MEDIAN(D40:L40)</f>
        <v>12.421095968894718</v>
      </c>
      <c r="R40" s="50"/>
    </row>
    <row r="41" spans="2:18" x14ac:dyDescent="0.25">
      <c r="B41" s="24" t="s">
        <v>147</v>
      </c>
      <c r="C41" s="24"/>
      <c r="D41" s="223">
        <f t="shared" ref="D41:L41" si="9">365/D35</f>
        <v>231.28865336429638</v>
      </c>
      <c r="E41" s="223">
        <f t="shared" si="9"/>
        <v>270.93102903728857</v>
      </c>
      <c r="F41" s="223">
        <f t="shared" si="9"/>
        <v>259.56061951318117</v>
      </c>
      <c r="G41" s="223">
        <f t="shared" si="9"/>
        <v>194.46817645164751</v>
      </c>
      <c r="H41" s="223">
        <f t="shared" si="9"/>
        <v>219.43346422448252</v>
      </c>
      <c r="I41" s="223">
        <f t="shared" si="9"/>
        <v>266.86242110884035</v>
      </c>
      <c r="J41" s="223">
        <f t="shared" si="9"/>
        <v>210.15979460839847</v>
      </c>
      <c r="K41" s="223">
        <f t="shared" si="9"/>
        <v>182.56163880255045</v>
      </c>
      <c r="L41" s="223">
        <f t="shared" si="9"/>
        <v>204.03990474294278</v>
      </c>
      <c r="M41" s="223">
        <f t="shared" ref="M41" si="10">365/M35</f>
        <v>278.98128212809672</v>
      </c>
      <c r="N41" s="310"/>
      <c r="O41" s="310"/>
      <c r="P41" s="234">
        <f t="shared" si="2"/>
        <v>231.82869839817249</v>
      </c>
      <c r="Q41" s="234">
        <f>MEDIAN(D41:L41)</f>
        <v>219.43346422448252</v>
      </c>
      <c r="R41" s="50"/>
    </row>
    <row r="42" spans="2:18" x14ac:dyDescent="0.25">
      <c r="B42" s="24" t="s">
        <v>148</v>
      </c>
      <c r="C42" s="24"/>
      <c r="D42" s="223">
        <f t="shared" ref="D42:L42" si="11">365/D36</f>
        <v>62.246691833313157</v>
      </c>
      <c r="E42" s="223">
        <f t="shared" si="11"/>
        <v>58.782299295288105</v>
      </c>
      <c r="F42" s="223">
        <f t="shared" si="11"/>
        <v>56.817293250397235</v>
      </c>
      <c r="G42" s="223">
        <f t="shared" si="11"/>
        <v>43.389335904577742</v>
      </c>
      <c r="H42" s="223">
        <f t="shared" si="11"/>
        <v>45.207883971113446</v>
      </c>
      <c r="I42" s="223">
        <f t="shared" si="11"/>
        <v>63.928441992078177</v>
      </c>
      <c r="J42" s="223">
        <f t="shared" si="11"/>
        <v>56.629478905902495</v>
      </c>
      <c r="K42" s="223">
        <f t="shared" si="11"/>
        <v>58.310307212721192</v>
      </c>
      <c r="L42" s="223">
        <f t="shared" si="11"/>
        <v>62.022810973025706</v>
      </c>
      <c r="M42" s="223">
        <f t="shared" ref="M42" si="12">365/M36</f>
        <v>55.263830047486614</v>
      </c>
      <c r="N42" s="310"/>
      <c r="O42" s="310"/>
      <c r="P42" s="234">
        <f t="shared" si="2"/>
        <v>56.259837338590373</v>
      </c>
      <c r="Q42" s="234">
        <f>MEDIAN(D42:L42)</f>
        <v>58.310307212721192</v>
      </c>
      <c r="R42" s="50"/>
    </row>
    <row r="43" spans="2:18" ht="15.75" thickBot="1" x14ac:dyDescent="0.3">
      <c r="B43" s="111" t="s">
        <v>149</v>
      </c>
      <c r="C43" s="111"/>
      <c r="D43" s="224">
        <f>SUM(D40,D42)-D41</f>
        <v>-163.06314040127228</v>
      </c>
      <c r="E43" s="224">
        <f t="shared" ref="E43:L43" si="13">SUM(E40,E42)-E41</f>
        <v>-202.32946432683894</v>
      </c>
      <c r="F43" s="224">
        <f t="shared" si="13"/>
        <v>-186.34824460177626</v>
      </c>
      <c r="G43" s="224">
        <f t="shared" si="13"/>
        <v>-131.75494468950637</v>
      </c>
      <c r="H43" s="224">
        <f t="shared" si="13"/>
        <v>-162.20162767585254</v>
      </c>
      <c r="I43" s="224">
        <f t="shared" si="13"/>
        <v>-188.05084418634078</v>
      </c>
      <c r="J43" s="224">
        <f t="shared" si="13"/>
        <v>-141.10921973360126</v>
      </c>
      <c r="K43" s="224">
        <f t="shared" si="13"/>
        <v>-112.40335419148421</v>
      </c>
      <c r="L43" s="224">
        <f t="shared" si="13"/>
        <v>-129.1765002930901</v>
      </c>
      <c r="M43" s="224">
        <f t="shared" ref="M43" si="14">SUM(M40,M42)-M41</f>
        <v>-207.78060481417407</v>
      </c>
      <c r="N43" s="312"/>
      <c r="O43" s="312"/>
      <c r="P43" s="235">
        <f t="shared" si="2"/>
        <v>-162.42179449139368</v>
      </c>
      <c r="Q43" s="235">
        <f>MEDIAN(D43:L43)</f>
        <v>-162.20162767585254</v>
      </c>
      <c r="R43" s="50"/>
    </row>
    <row r="44" spans="2:18" x14ac:dyDescent="0.25">
      <c r="N44" s="313"/>
      <c r="O44" s="313"/>
      <c r="P44" s="229"/>
      <c r="Q44" s="229"/>
    </row>
    <row r="45" spans="2:18" x14ac:dyDescent="0.25">
      <c r="B45" s="129" t="s">
        <v>150</v>
      </c>
      <c r="C45" s="129"/>
      <c r="D45" s="192">
        <f>'Historical Financial Statement'!D87/'Historical Financial Statement'!D12</f>
        <v>0.15938998396818585</v>
      </c>
      <c r="E45" s="192">
        <f>'Historical Financial Statement'!E87/'Historical Financial Statement'!E12</f>
        <v>0.16926903413016442</v>
      </c>
      <c r="F45" s="192">
        <f>'Historical Financial Statement'!F87/'Historical Financial Statement'!F12</f>
        <v>0.15863958876524667</v>
      </c>
      <c r="G45" s="192">
        <f>'Historical Financial Statement'!G87/'Historical Financial Statement'!G12</f>
        <v>5.136213197451512E-2</v>
      </c>
      <c r="H45" s="192">
        <f>'Historical Financial Statement'!H87/'Historical Financial Statement'!H12</f>
        <v>0.12994088948999377</v>
      </c>
      <c r="I45" s="192">
        <f>'Historical Financial Statement'!I87/'Historical Financial Statement'!I12</f>
        <v>-1.0979890930224081E-3</v>
      </c>
      <c r="J45" s="192">
        <f>'Historical Financial Statement'!J87/'Historical Financial Statement'!J12</f>
        <v>9.7155064325229287E-2</v>
      </c>
      <c r="K45" s="192">
        <f>'Historical Financial Statement'!K87/'Historical Financial Statement'!K12</f>
        <v>6.3144970994847074E-2</v>
      </c>
      <c r="L45" s="192">
        <f>'Historical Financial Statement'!L87/'Historical Financial Statement'!L12</f>
        <v>8.2307703430655549E-2</v>
      </c>
      <c r="M45" s="192">
        <f>'Historical Financial Statement'!M87/'Historical Financial Statement'!M12</f>
        <v>8.2297684341028701E-2</v>
      </c>
      <c r="N45" s="311"/>
      <c r="O45" s="311"/>
      <c r="P45" s="236">
        <f t="shared" si="2"/>
        <v>9.9240906232684389E-2</v>
      </c>
      <c r="Q45" s="236">
        <f>MEDIAN(D45:L45)</f>
        <v>9.7155064325229287E-2</v>
      </c>
    </row>
    <row r="46" spans="2:18" x14ac:dyDescent="0.25">
      <c r="B46" s="24" t="s">
        <v>151</v>
      </c>
      <c r="C46" s="24"/>
      <c r="D46" s="193">
        <f>'Historical Financial Statement'!D87/'Historical Financial Statement'!D70</f>
        <v>7.2532917527132854E-2</v>
      </c>
      <c r="E46" s="193">
        <f>'Historical Financial Statement'!E87/'Historical Financial Statement'!E70</f>
        <v>7.2792663291841281E-2</v>
      </c>
      <c r="F46" s="193">
        <f>'Historical Financial Statement'!F87/'Historical Financial Statement'!F70</f>
        <v>7.6423102950548091E-2</v>
      </c>
      <c r="G46" s="193">
        <f>'Historical Financial Statement'!G87/'Historical Financial Statement'!G70</f>
        <v>2.9260347022443189E-2</v>
      </c>
      <c r="H46" s="193">
        <f>'Historical Financial Statement'!H87/'Historical Financial Statement'!H70</f>
        <v>6.6665520221149341E-2</v>
      </c>
      <c r="I46" s="193">
        <f>'Historical Financial Statement'!I87/'Historical Financial Statement'!I70</f>
        <v>-3.8785968872744904E-4</v>
      </c>
      <c r="J46" s="193">
        <f>'Historical Financial Statement'!J87/'Historical Financial Statement'!J70</f>
        <v>4.5035372495532563E-2</v>
      </c>
      <c r="K46" s="193">
        <f>'Historical Financial Statement'!K87/'Historical Financial Statement'!K70</f>
        <v>3.4460813434611014E-2</v>
      </c>
      <c r="L46" s="193">
        <f>'Historical Financial Statement'!L87/'Historical Financial Statement'!L70</f>
        <v>4.2162949389418412E-2</v>
      </c>
      <c r="M46" s="193">
        <f>'Historical Financial Statement'!M87/'Historical Financial Statement'!M70</f>
        <v>4.0711319964248371E-2</v>
      </c>
      <c r="N46" s="310"/>
      <c r="O46" s="310"/>
      <c r="P46" s="237">
        <f t="shared" si="2"/>
        <v>4.7965714660819767E-2</v>
      </c>
      <c r="Q46" s="237">
        <f>MEDIAN(D46:L46)</f>
        <v>4.5035372495532563E-2</v>
      </c>
    </row>
    <row r="47" spans="2:18" ht="15.75" thickBot="1" x14ac:dyDescent="0.3">
      <c r="B47" s="111" t="s">
        <v>152</v>
      </c>
      <c r="C47" s="111"/>
      <c r="D47" s="217">
        <f>'Historical Financial Statement'!D87/'Historical Financial Statement'!D55</f>
        <v>0.22313238904239038</v>
      </c>
      <c r="E47" s="217">
        <f>'Historical Financial Statement'!E87/'Historical Financial Statement'!E55</f>
        <v>0.23657891711690998</v>
      </c>
      <c r="F47" s="217">
        <f>'Historical Financial Statement'!F87/'Historical Financial Statement'!F55</f>
        <v>0.25850243701087794</v>
      </c>
      <c r="G47" s="217">
        <f>'Historical Financial Statement'!G87/'Historical Financial Statement'!G55</f>
        <v>9.4864062083623107E-2</v>
      </c>
      <c r="H47" s="217">
        <f>'Historical Financial Statement'!H87/'Historical Financial Statement'!H55</f>
        <v>0.21832102339123652</v>
      </c>
      <c r="I47" s="217">
        <f>'Historical Financial Statement'!I87/'Historical Financial Statement'!I55</f>
        <v>-1.8353754274775776E-3</v>
      </c>
      <c r="J47" s="217">
        <f>'Historical Financial Statement'!J87/'Historical Financial Statement'!J55</f>
        <v>0.21146579437143986</v>
      </c>
      <c r="K47" s="217">
        <f>'Historical Financial Statement'!K87/'Historical Financial Statement'!K55</f>
        <v>0.12252470863296609</v>
      </c>
      <c r="L47" s="217">
        <f>'Historical Financial Statement'!L87/'Historical Financial Statement'!L55</f>
        <v>0.16121884742838094</v>
      </c>
      <c r="M47" s="217">
        <f>'Historical Financial Statement'!M87/'Historical Financial Statement'!M55</f>
        <v>0.21481972536021104</v>
      </c>
      <c r="N47" s="312"/>
      <c r="O47" s="312"/>
      <c r="P47" s="238">
        <f t="shared" si="2"/>
        <v>0.17395925290105582</v>
      </c>
      <c r="Q47" s="238">
        <f>MEDIAN(D47:L47)</f>
        <v>0.21146579437143986</v>
      </c>
    </row>
    <row r="48" spans="2:18" x14ac:dyDescent="0.25">
      <c r="N48" s="313"/>
      <c r="O48" s="313"/>
    </row>
    <row r="49" spans="2:17" x14ac:dyDescent="0.25">
      <c r="N49" s="207"/>
      <c r="O49" s="207"/>
    </row>
    <row r="50" spans="2:17" x14ac:dyDescent="0.25">
      <c r="B50" s="11"/>
      <c r="C50" s="11"/>
      <c r="D50" s="11"/>
      <c r="E50" s="11"/>
      <c r="F50" s="11"/>
      <c r="G50" s="11"/>
      <c r="H50" s="11"/>
      <c r="I50" s="11"/>
      <c r="J50" s="11"/>
      <c r="K50" s="11"/>
      <c r="L50" s="11"/>
      <c r="M50" s="11"/>
      <c r="N50" s="11"/>
      <c r="O50" s="11"/>
      <c r="P50" s="11"/>
      <c r="Q50" s="11"/>
    </row>
    <row r="51" spans="2:17" x14ac:dyDescent="0.25">
      <c r="N51" s="207"/>
      <c r="O51" s="207"/>
    </row>
    <row r="52" spans="2:17" x14ac:dyDescent="0.25">
      <c r="N52" s="207"/>
      <c r="O52" s="207"/>
    </row>
    <row r="53" spans="2:17" x14ac:dyDescent="0.25">
      <c r="B53" s="272" t="s">
        <v>731</v>
      </c>
      <c r="Q53" s="273" t="s">
        <v>734</v>
      </c>
    </row>
    <row r="54" spans="2:17" x14ac:dyDescent="0.25">
      <c r="B54" s="272" t="s">
        <v>733</v>
      </c>
      <c r="Q54" s="273" t="s">
        <v>735</v>
      </c>
    </row>
  </sheetData>
  <mergeCells count="39">
    <mergeCell ref="N48:O48"/>
    <mergeCell ref="N42:O42"/>
    <mergeCell ref="N43:O43"/>
    <mergeCell ref="N44:O44"/>
    <mergeCell ref="N45:O45"/>
    <mergeCell ref="N46:O46"/>
    <mergeCell ref="N47:O47"/>
    <mergeCell ref="N41:O41"/>
    <mergeCell ref="N30:O30"/>
    <mergeCell ref="N31:O31"/>
    <mergeCell ref="N32:O32"/>
    <mergeCell ref="N33:O33"/>
    <mergeCell ref="N34:O34"/>
    <mergeCell ref="N35:O35"/>
    <mergeCell ref="N36:O36"/>
    <mergeCell ref="N37:O37"/>
    <mergeCell ref="N38:O38"/>
    <mergeCell ref="N39:O39"/>
    <mergeCell ref="N40:O40"/>
    <mergeCell ref="N29:O29"/>
    <mergeCell ref="N12:O12"/>
    <mergeCell ref="N13:O13"/>
    <mergeCell ref="N14:O14"/>
    <mergeCell ref="N15:O15"/>
    <mergeCell ref="N16:O16"/>
    <mergeCell ref="N18:O18"/>
    <mergeCell ref="N19:O19"/>
    <mergeCell ref="N20:O20"/>
    <mergeCell ref="N21:O21"/>
    <mergeCell ref="N22:O22"/>
    <mergeCell ref="N24:O24"/>
    <mergeCell ref="N25:O25"/>
    <mergeCell ref="N26:O26"/>
    <mergeCell ref="N28:O28"/>
    <mergeCell ref="N10:O10"/>
    <mergeCell ref="B9:Q9"/>
    <mergeCell ref="N4:Q7"/>
    <mergeCell ref="B1:F5"/>
    <mergeCell ref="B6:F7"/>
  </mergeCells>
  <pageMargins left="0.15748031496062992" right="0.15748031496062992" top="0.6692913385826772" bottom="0.74803149606299213" header="0.31496062992125984" footer="0.31496062992125984"/>
  <pageSetup paperSize="9" scale="64" orientation="portrait" r:id="rId1"/>
  <drawing r:id="rId2"/>
  <extLst>
    <ext xmlns:x14="http://schemas.microsoft.com/office/spreadsheetml/2009/9/main" uri="{05C60535-1F16-4fd2-B633-F4F36F0B64E0}">
      <x14:sparklineGroups xmlns:xm="http://schemas.microsoft.com/office/excel/2006/main">
        <x14:sparklineGroup displayEmptyCellsAs="gap" markers="1" xr2:uid="{C8719E84-B0FA-4189-A453-8317E47D19C0}">
          <x14:colorSeries rgb="FF00B0F0"/>
          <x14:colorNegative rgb="FFD00000"/>
          <x14:colorAxis rgb="FF000000"/>
          <x14:colorMarkers theme="1"/>
          <x14:colorFirst rgb="FFD00000"/>
          <x14:colorLast rgb="FFD00000"/>
          <x14:colorHigh rgb="FFD00000"/>
          <x14:colorLow rgb="FFD00000"/>
          <x14:sparklines>
            <x14:sparkline>
              <xm:f>'Trend Analysis'!D24:L24</xm:f>
              <xm:sqref>N24</xm:sqref>
            </x14:sparkline>
            <x14:sparkline>
              <xm:f>'Trend Analysis'!D25:L25</xm:f>
              <xm:sqref>N25</xm:sqref>
            </x14:sparkline>
            <x14:sparkline>
              <xm:f>'Trend Analysis'!D26:L26</xm:f>
              <xm:sqref>N26</xm:sqref>
            </x14:sparkline>
          </x14:sparklines>
        </x14:sparklineGroup>
        <x14:sparklineGroup displayEmptyCellsAs="gap" markers="1" xr2:uid="{AE69ADC0-5579-4734-BE29-8B95ECDB1770}">
          <x14:colorSeries rgb="FF00B0F0"/>
          <x14:colorNegative rgb="FFD00000"/>
          <x14:colorAxis rgb="FF000000"/>
          <x14:colorMarkers theme="1"/>
          <x14:colorFirst rgb="FFD00000"/>
          <x14:colorLast rgb="FFD00000"/>
          <x14:colorHigh rgb="FFD00000"/>
          <x14:colorLow rgb="FFD00000"/>
          <x14:sparklines>
            <x14:sparkline>
              <xm:f>'Trend Analysis'!D28:L28</xm:f>
              <xm:sqref>N28</xm:sqref>
            </x14:sparkline>
            <x14:sparkline>
              <xm:f>'Trend Analysis'!D29:L29</xm:f>
              <xm:sqref>N29</xm:sqref>
            </x14:sparkline>
            <x14:sparkline>
              <xm:f>'Trend Analysis'!D30:L30</xm:f>
              <xm:sqref>N30</xm:sqref>
            </x14:sparkline>
            <x14:sparkline>
              <xm:f>'Trend Analysis'!D31:L31</xm:f>
              <xm:sqref>N31</xm:sqref>
            </x14:sparkline>
            <x14:sparkline>
              <xm:f>'Trend Analysis'!D32:L32</xm:f>
              <xm:sqref>N32</xm:sqref>
            </x14:sparkline>
            <x14:sparkline>
              <xm:f>'Trend Analysis'!D33:L33</xm:f>
              <xm:sqref>N33</xm:sqref>
            </x14:sparkline>
            <x14:sparkline>
              <xm:f>'Trend Analysis'!D34:L34</xm:f>
              <xm:sqref>N34</xm:sqref>
            </x14:sparkline>
            <x14:sparkline>
              <xm:f>'Trend Analysis'!D35:L35</xm:f>
              <xm:sqref>N35</xm:sqref>
            </x14:sparkline>
            <x14:sparkline>
              <xm:f>'Trend Analysis'!D36:L36</xm:f>
              <xm:sqref>N36</xm:sqref>
            </x14:sparkline>
            <x14:sparkline>
              <xm:f>'Trend Analysis'!D37:L37</xm:f>
              <xm:sqref>N37</xm:sqref>
            </x14:sparkline>
            <x14:sparkline>
              <xm:f>'Trend Analysis'!D38:L38</xm:f>
              <xm:sqref>N38</xm:sqref>
            </x14:sparkline>
            <x14:sparkline>
              <xm:f>'Trend Analysis'!D39:L39</xm:f>
              <xm:sqref>N39</xm:sqref>
            </x14:sparkline>
            <x14:sparkline>
              <xm:f>'Trend Analysis'!D40:L40</xm:f>
              <xm:sqref>N40</xm:sqref>
            </x14:sparkline>
            <x14:sparkline>
              <xm:f>'Trend Analysis'!D41:L41</xm:f>
              <xm:sqref>N41</xm:sqref>
            </x14:sparkline>
            <x14:sparkline>
              <xm:f>'Trend Analysis'!D42:L42</xm:f>
              <xm:sqref>N42</xm:sqref>
            </x14:sparkline>
            <x14:sparkline>
              <xm:f>'Trend Analysis'!D43:L43</xm:f>
              <xm:sqref>N43</xm:sqref>
            </x14:sparkline>
            <x14:sparkline>
              <xm:f>'Trend Analysis'!D44:L44</xm:f>
              <xm:sqref>N44</xm:sqref>
            </x14:sparkline>
            <x14:sparkline>
              <xm:f>'Trend Analysis'!D45:L45</xm:f>
              <xm:sqref>N45</xm:sqref>
            </x14:sparkline>
            <x14:sparkline>
              <xm:f>'Trend Analysis'!D46:L46</xm:f>
              <xm:sqref>N46</xm:sqref>
            </x14:sparkline>
            <x14:sparkline>
              <xm:f>'Trend Analysis'!D47:L47</xm:f>
              <xm:sqref>N47</xm:sqref>
            </x14:sparkline>
            <x14:sparkline>
              <xm:f>'Trend Analysis'!D48:L48</xm:f>
              <xm:sqref>N48</xm:sqref>
            </x14:sparkline>
            <x14:sparkline>
              <xm:f>'Trend Analysis'!D49:L49</xm:f>
              <xm:sqref>N49</xm:sqref>
            </x14:sparkline>
            <x14:sparkline>
              <xm:f>'Trend Analysis'!D51:L51</xm:f>
              <xm:sqref>N51</xm:sqref>
            </x14:sparkline>
            <x14:sparkline>
              <xm:f>'Trend Analysis'!D52:L52</xm:f>
              <xm:sqref>N52</xm:sqref>
            </x14:sparkline>
          </x14:sparklines>
        </x14:sparklineGroup>
        <x14:sparklineGroup displayEmptyCellsAs="gap" markers="1" xr2:uid="{5C941A8C-4C39-4033-A61B-41B89035CF05}">
          <x14:colorSeries rgb="FF00B0F0"/>
          <x14:colorNegative rgb="FFD00000"/>
          <x14:colorAxis rgb="FF000000"/>
          <x14:colorMarkers theme="1"/>
          <x14:colorFirst rgb="FFD00000"/>
          <x14:colorLast rgb="FFD00000"/>
          <x14:colorHigh rgb="FFD00000"/>
          <x14:colorLow rgb="FFD00000"/>
          <x14:sparklines>
            <x14:sparkline>
              <xm:f>'Trend Analysis'!D18:L18</xm:f>
              <xm:sqref>N18</xm:sqref>
            </x14:sparkline>
            <x14:sparkline>
              <xm:f>'Trend Analysis'!D19:L19</xm:f>
              <xm:sqref>N19</xm:sqref>
            </x14:sparkline>
            <x14:sparkline>
              <xm:f>'Trend Analysis'!D20:L20</xm:f>
              <xm:sqref>N20</xm:sqref>
            </x14:sparkline>
            <x14:sparkline>
              <xm:f>'Trend Analysis'!D21:L21</xm:f>
              <xm:sqref>N21</xm:sqref>
            </x14:sparkline>
            <x14:sparkline>
              <xm:f>'Trend Analysis'!D22:L22</xm:f>
              <xm:sqref>N22</xm:sqref>
            </x14:sparkline>
          </x14:sparklines>
        </x14:sparklineGroup>
        <x14:sparklineGroup displayEmptyCellsAs="gap" markers="1" xr2:uid="{96EE8A0C-DE3E-400C-90B5-5D23795B6921}">
          <x14:colorSeries rgb="FF00B0F0"/>
          <x14:colorNegative rgb="FFD00000"/>
          <x14:colorAxis rgb="FF000000"/>
          <x14:colorMarkers theme="1"/>
          <x14:colorFirst rgb="FFD00000"/>
          <x14:colorLast rgb="FFD00000"/>
          <x14:colorHigh rgb="FFD00000"/>
          <x14:colorLow rgb="FFD00000"/>
          <x14:sparklines>
            <x14:sparkline>
              <xm:f>'Trend Analysis'!E12:L12</xm:f>
              <xm:sqref>N12</xm:sqref>
            </x14:sparkline>
            <x14:sparkline>
              <xm:f>'Trend Analysis'!E13:L13</xm:f>
              <xm:sqref>N13</xm:sqref>
            </x14:sparkline>
            <x14:sparkline>
              <xm:f>'Trend Analysis'!E14:L14</xm:f>
              <xm:sqref>N14</xm:sqref>
            </x14:sparkline>
            <x14:sparkline>
              <xm:f>'Trend Analysis'!E15:L15</xm:f>
              <xm:sqref>N15</xm:sqref>
            </x14:sparkline>
            <x14:sparkline>
              <xm:f>'Trend Analysis'!E16:L16</xm:f>
              <xm:sqref>N16</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5C23-FFF6-4B32-AAF7-763A55AEBF8B}">
  <sheetPr>
    <pageSetUpPr fitToPage="1"/>
  </sheetPr>
  <dimension ref="B1:M51"/>
  <sheetViews>
    <sheetView showGridLines="0" view="pageBreakPreview" topLeftCell="A18" zoomScale="60" zoomScaleNormal="100" workbookViewId="0">
      <selection activeCell="I55" sqref="I55"/>
    </sheetView>
  </sheetViews>
  <sheetFormatPr defaultRowHeight="15" x14ac:dyDescent="0.25"/>
  <cols>
    <col min="1" max="1" width="2.28515625" customWidth="1"/>
    <col min="4" max="4" width="13.28515625" bestFit="1" customWidth="1"/>
    <col min="5" max="12" width="9.28515625" bestFit="1" customWidth="1"/>
    <col min="14" max="14" width="1.5703125" customWidth="1"/>
  </cols>
  <sheetData>
    <row r="1" spans="2:13" x14ac:dyDescent="0.25">
      <c r="B1" s="315" t="str">
        <f>'Data Sheet'!B1</f>
        <v>RELIANCE INDUSTRIES LTD</v>
      </c>
      <c r="C1" s="315"/>
      <c r="D1" s="315"/>
      <c r="E1" s="315"/>
      <c r="F1" s="315"/>
      <c r="G1" s="11"/>
      <c r="H1" s="11"/>
      <c r="I1" s="11"/>
      <c r="J1" s="11"/>
      <c r="K1" s="11"/>
      <c r="L1" s="11"/>
      <c r="M1" s="11"/>
    </row>
    <row r="2" spans="2:13" x14ac:dyDescent="0.25">
      <c r="B2" s="315"/>
      <c r="C2" s="315"/>
      <c r="D2" s="315"/>
      <c r="E2" s="315"/>
      <c r="F2" s="315"/>
      <c r="G2" s="11"/>
      <c r="H2" s="11"/>
      <c r="I2" s="11"/>
      <c r="J2" s="11"/>
      <c r="K2" s="11"/>
      <c r="L2" s="11"/>
      <c r="M2" s="11"/>
    </row>
    <row r="3" spans="2:13" ht="15" customHeight="1" x14ac:dyDescent="0.25">
      <c r="B3" s="315"/>
      <c r="C3" s="315"/>
      <c r="D3" s="315"/>
      <c r="E3" s="315"/>
      <c r="F3" s="315"/>
      <c r="G3" s="11"/>
      <c r="H3" s="11"/>
      <c r="I3" s="11"/>
      <c r="J3" s="11"/>
      <c r="K3" s="11"/>
      <c r="L3" s="11"/>
      <c r="M3" s="11"/>
    </row>
    <row r="4" spans="2:13" ht="15" customHeight="1" x14ac:dyDescent="0.25">
      <c r="B4" s="315"/>
      <c r="C4" s="315"/>
      <c r="D4" s="315"/>
      <c r="E4" s="315"/>
      <c r="F4" s="315"/>
      <c r="G4" s="11"/>
      <c r="H4" s="11"/>
      <c r="I4" s="11"/>
      <c r="J4" s="11"/>
      <c r="K4" s="11"/>
      <c r="L4" s="11"/>
      <c r="M4" s="11"/>
    </row>
    <row r="5" spans="2:13" ht="15" customHeight="1" x14ac:dyDescent="0.25">
      <c r="B5" s="315"/>
      <c r="C5" s="315"/>
      <c r="D5" s="315"/>
      <c r="E5" s="315"/>
      <c r="F5" s="315"/>
      <c r="G5" s="11"/>
      <c r="H5" s="11"/>
      <c r="I5" s="11"/>
      <c r="J5" s="11"/>
      <c r="K5" s="11"/>
      <c r="L5" s="11"/>
      <c r="M5" s="11"/>
    </row>
    <row r="6" spans="2:13" ht="15.75" customHeight="1" x14ac:dyDescent="0.25">
      <c r="B6" s="314" t="s">
        <v>63</v>
      </c>
      <c r="C6" s="314"/>
      <c r="D6" s="314"/>
      <c r="E6" s="314"/>
      <c r="F6" s="314"/>
      <c r="G6" s="11"/>
      <c r="H6" s="11"/>
      <c r="I6" s="11"/>
      <c r="J6" s="11"/>
      <c r="K6" s="11"/>
      <c r="L6" s="11"/>
      <c r="M6" s="11"/>
    </row>
    <row r="8" spans="2:13" ht="15.75" x14ac:dyDescent="0.25">
      <c r="B8" s="306" t="str">
        <f>"Common Size Statement - "&amp;'Data Sheet'!B1</f>
        <v>Common Size Statement - RELIANCE INDUSTRIES LTD</v>
      </c>
      <c r="C8" s="306"/>
      <c r="D8" s="306"/>
      <c r="E8" s="306"/>
      <c r="F8" s="306"/>
      <c r="G8" s="306"/>
      <c r="H8" s="306"/>
      <c r="I8" s="306"/>
      <c r="J8" s="306"/>
      <c r="K8" s="306"/>
      <c r="L8" s="306"/>
      <c r="M8" s="11"/>
    </row>
    <row r="9" spans="2:13" x14ac:dyDescent="0.25">
      <c r="B9" s="12" t="s">
        <v>64</v>
      </c>
      <c r="C9" s="17"/>
      <c r="D9" s="18">
        <f>'Data Sheet'!B16</f>
        <v>42460</v>
      </c>
      <c r="E9" s="18">
        <f>'Data Sheet'!C16</f>
        <v>42825</v>
      </c>
      <c r="F9" s="18">
        <f>'Data Sheet'!D16</f>
        <v>43190</v>
      </c>
      <c r="G9" s="18">
        <f>'Data Sheet'!E16</f>
        <v>43555</v>
      </c>
      <c r="H9" s="18">
        <f>'Data Sheet'!F16</f>
        <v>43921</v>
      </c>
      <c r="I9" s="18">
        <f>'Data Sheet'!G16</f>
        <v>44286</v>
      </c>
      <c r="J9" s="18">
        <f>'Data Sheet'!H16</f>
        <v>44651</v>
      </c>
      <c r="K9" s="18">
        <f>'Data Sheet'!I16</f>
        <v>45016</v>
      </c>
      <c r="L9" s="18">
        <f>'Data Sheet'!J16</f>
        <v>45382</v>
      </c>
      <c r="M9" s="18">
        <f>'Data Sheet'!K16</f>
        <v>45747</v>
      </c>
    </row>
    <row r="11" spans="2:13" ht="15.75" thickBot="1" x14ac:dyDescent="0.3">
      <c r="B11" s="42" t="s">
        <v>1</v>
      </c>
      <c r="C11" s="40"/>
      <c r="D11" s="120">
        <f>'Data Sheet'!B17/'Data Sheet'!B$17</f>
        <v>1</v>
      </c>
      <c r="E11" s="120">
        <f>'Data Sheet'!C17/'Data Sheet'!C$17</f>
        <v>1</v>
      </c>
      <c r="F11" s="120">
        <f>'Data Sheet'!D17/'Data Sheet'!D$17</f>
        <v>1</v>
      </c>
      <c r="G11" s="120">
        <f>'Data Sheet'!E17/'Data Sheet'!E$17</f>
        <v>1</v>
      </c>
      <c r="H11" s="120">
        <f>'Data Sheet'!F17/'Data Sheet'!F$17</f>
        <v>1</v>
      </c>
      <c r="I11" s="120">
        <f>'Data Sheet'!G17/'Data Sheet'!G$17</f>
        <v>1</v>
      </c>
      <c r="J11" s="120">
        <f>'Data Sheet'!H17/'Data Sheet'!H$17</f>
        <v>1</v>
      </c>
      <c r="K11" s="120">
        <f>'Data Sheet'!I17/'Data Sheet'!I$17</f>
        <v>1</v>
      </c>
      <c r="L11" s="120">
        <f>'Data Sheet'!J17/'Data Sheet'!J$17</f>
        <v>1</v>
      </c>
      <c r="M11" s="120">
        <f>'Data Sheet'!K17/'Data Sheet'!K$17</f>
        <v>1</v>
      </c>
    </row>
    <row r="12" spans="2:13" x14ac:dyDescent="0.25">
      <c r="B12" s="239" t="s">
        <v>47</v>
      </c>
      <c r="C12" s="240"/>
      <c r="D12" s="241">
        <f>'Data Sheet'!B18/'Data Sheet'!B$17</f>
        <v>0.68329279522200581</v>
      </c>
      <c r="E12" s="241">
        <f>'Data Sheet'!C18/'Data Sheet'!C$17</f>
        <v>0.71562802266132375</v>
      </c>
      <c r="F12" s="241">
        <f>'Data Sheet'!D18/'Data Sheet'!D$17</f>
        <v>0.70639650174119739</v>
      </c>
      <c r="G12" s="241">
        <f>'Data Sheet'!E18/'Data Sheet'!E$17</f>
        <v>0.70234209632665123</v>
      </c>
      <c r="H12" s="241">
        <f>'Data Sheet'!F18/'Data Sheet'!F$17</f>
        <v>0.68761930619311218</v>
      </c>
      <c r="I12" s="241">
        <f>'Data Sheet'!G18/'Data Sheet'!G$17</f>
        <v>0.64713804424981825</v>
      </c>
      <c r="J12" s="241">
        <f>'Data Sheet'!H18/'Data Sheet'!H$17</f>
        <v>0.71177230150013027</v>
      </c>
      <c r="K12" s="241">
        <f>'Data Sheet'!I18/'Data Sheet'!I$17</f>
        <v>0.70601189416656396</v>
      </c>
      <c r="L12" s="241">
        <f>'Data Sheet'!J18/'Data Sheet'!J$17</f>
        <v>0.65650621050652858</v>
      </c>
      <c r="M12" s="241">
        <f>'Data Sheet'!K18/'Data Sheet'!K$17</f>
        <v>0.66841264526642152</v>
      </c>
    </row>
    <row r="13" spans="2:13" x14ac:dyDescent="0.25">
      <c r="B13" s="242" t="s">
        <v>48</v>
      </c>
      <c r="C13" s="24"/>
      <c r="D13" s="46">
        <f>'Data Sheet'!B19/'Data Sheet'!B$17</f>
        <v>-9.3916348414978187E-3</v>
      </c>
      <c r="E13" s="46">
        <f>'Data Sheet'!C19/'Data Sheet'!C$17</f>
        <v>1.7167071333162254E-2</v>
      </c>
      <c r="F13" s="46">
        <f>'Data Sheet'!D19/'Data Sheet'!D$17</f>
        <v>2.203043321401248E-2</v>
      </c>
      <c r="G13" s="46">
        <f>'Data Sheet'!E19/'Data Sheet'!E$17</f>
        <v>8.2345509794364957E-3</v>
      </c>
      <c r="H13" s="46">
        <f>'Data Sheet'!F19/'Data Sheet'!F$17</f>
        <v>8.4601603207084541E-3</v>
      </c>
      <c r="I13" s="46">
        <f>'Data Sheet'!G19/'Data Sheet'!G$17</f>
        <v>1.9437838162412315E-2</v>
      </c>
      <c r="J13" s="46">
        <f>'Data Sheet'!H19/'Data Sheet'!H$17</f>
        <v>3.0887914169688471E-2</v>
      </c>
      <c r="K13" s="46">
        <f>'Data Sheet'!I19/'Data Sheet'!I$17</f>
        <v>3.4531193661312923E-2</v>
      </c>
      <c r="L13" s="46">
        <f>'Data Sheet'!J19/'Data Sheet'!J$17</f>
        <v>5.43134295321348E-3</v>
      </c>
      <c r="M13" s="46">
        <f>'Data Sheet'!K19/'Data Sheet'!K$17</f>
        <v>1.5677526425505316E-2</v>
      </c>
    </row>
    <row r="14" spans="2:13" x14ac:dyDescent="0.25">
      <c r="B14" s="242" t="s">
        <v>49</v>
      </c>
      <c r="C14" s="24"/>
      <c r="D14" s="46">
        <f>'Data Sheet'!B20/'Data Sheet'!B$17</f>
        <v>3.9404511653331281E-2</v>
      </c>
      <c r="E14" s="46">
        <f>'Data Sheet'!C20/'Data Sheet'!C$17</f>
        <v>3.70154694460346E-2</v>
      </c>
      <c r="F14" s="46">
        <f>'Data Sheet'!D20/'Data Sheet'!D$17</f>
        <v>3.7277744656788368E-2</v>
      </c>
      <c r="G14" s="46">
        <f>'Data Sheet'!E20/'Data Sheet'!E$17</f>
        <v>2.9962856544620532E-2</v>
      </c>
      <c r="H14" s="46">
        <f>'Data Sheet'!F20/'Data Sheet'!F$17</f>
        <v>2.5303387583608606E-2</v>
      </c>
      <c r="I14" s="46">
        <f>'Data Sheet'!G20/'Data Sheet'!G$17</f>
        <v>2.8337554443746287E-2</v>
      </c>
      <c r="J14" s="46">
        <f>'Data Sheet'!H20/'Data Sheet'!H$17</f>
        <v>2.57703984464633E-2</v>
      </c>
      <c r="K14" s="46">
        <f>'Data Sheet'!I20/'Data Sheet'!I$17</f>
        <v>2.8596661783029588E-2</v>
      </c>
      <c r="L14" s="46">
        <f>'Data Sheet'!J20/'Data Sheet'!J$17</f>
        <v>2.4622903738539176E-2</v>
      </c>
      <c r="M14" s="46">
        <f>'Data Sheet'!K20/'Data Sheet'!K$17</f>
        <v>0</v>
      </c>
    </row>
    <row r="15" spans="2:13" x14ac:dyDescent="0.25">
      <c r="B15" s="242" t="s">
        <v>50</v>
      </c>
      <c r="C15" s="24"/>
      <c r="D15" s="46">
        <f>'Data Sheet'!B21/'Data Sheet'!B$17</f>
        <v>3.0346720081589829E-2</v>
      </c>
      <c r="E15" s="46">
        <f>'Data Sheet'!C21/'Data Sheet'!C$17</f>
        <v>3.2600327681162278E-2</v>
      </c>
      <c r="F15" s="46">
        <f>'Data Sheet'!D21/'Data Sheet'!D$17</f>
        <v>2.4796391205225896E-2</v>
      </c>
      <c r="G15" s="46">
        <f>'Data Sheet'!E21/'Data Sheet'!E$17</f>
        <v>2.1462618129736405E-2</v>
      </c>
      <c r="H15" s="46">
        <f>'Data Sheet'!F21/'Data Sheet'!F$17</f>
        <v>1.9162732390447794E-2</v>
      </c>
      <c r="I15" s="46">
        <f>'Data Sheet'!G21/'Data Sheet'!G$17</f>
        <v>1.6484847964967287E-2</v>
      </c>
      <c r="J15" s="46">
        <f>'Data Sheet'!H21/'Data Sheet'!H$17</f>
        <v>1.7524792240377847E-2</v>
      </c>
      <c r="K15" s="46">
        <f>'Data Sheet'!I21/'Data Sheet'!I$17</f>
        <v>2.2430499454584456E-2</v>
      </c>
      <c r="L15" s="46">
        <f>'Data Sheet'!J21/'Data Sheet'!J$17</f>
        <v>2.0328327629107017E-2</v>
      </c>
      <c r="M15" s="46">
        <f>'Data Sheet'!K21/'Data Sheet'!K$17</f>
        <v>0</v>
      </c>
    </row>
    <row r="16" spans="2:13" x14ac:dyDescent="0.25">
      <c r="B16" s="242" t="s">
        <v>51</v>
      </c>
      <c r="C16" s="24"/>
      <c r="D16" s="46">
        <f>'Data Sheet'!B22/'Data Sheet'!B$17</f>
        <v>2.7173374715224352E-2</v>
      </c>
      <c r="E16" s="46">
        <f>'Data Sheet'!C22/'Data Sheet'!C$17</f>
        <v>2.7596281016206401E-2</v>
      </c>
      <c r="F16" s="46">
        <f>'Data Sheet'!D22/'Data Sheet'!D$17</f>
        <v>2.4366529093732967E-2</v>
      </c>
      <c r="G16" s="46">
        <f>'Data Sheet'!E22/'Data Sheet'!E$17</f>
        <v>2.1972878767351062E-2</v>
      </c>
      <c r="H16" s="46">
        <f>'Data Sheet'!F22/'Data Sheet'!F$17</f>
        <v>2.3588897883116383E-2</v>
      </c>
      <c r="I16" s="46">
        <f>'Data Sheet'!G22/'Data Sheet'!G$17</f>
        <v>3.1775203889283239E-2</v>
      </c>
      <c r="J16" s="46">
        <f>'Data Sheet'!H22/'Data Sheet'!H$17</f>
        <v>2.7002632893462105E-2</v>
      </c>
      <c r="K16" s="46">
        <f>'Data Sheet'!I22/'Data Sheet'!I$17</f>
        <v>2.8379864809971747E-2</v>
      </c>
      <c r="L16" s="46">
        <f>'Data Sheet'!J22/'Data Sheet'!J$17</f>
        <v>2.8562657320411418E-2</v>
      </c>
      <c r="M16" s="46">
        <f>'Data Sheet'!K22/'Data Sheet'!K$17</f>
        <v>2.9604236788283941E-2</v>
      </c>
    </row>
    <row r="17" spans="2:13" x14ac:dyDescent="0.25">
      <c r="B17" s="242" t="s">
        <v>52</v>
      </c>
      <c r="C17" s="24"/>
      <c r="D17" s="46">
        <f>'Data Sheet'!B23/'Data Sheet'!B$17</f>
        <v>6.8999167226129296E-2</v>
      </c>
      <c r="E17" s="46">
        <f>'Data Sheet'!C23/'Data Sheet'!C$17</f>
        <v>6.0930272343841504E-2</v>
      </c>
      <c r="F17" s="46">
        <f>'Data Sheet'!D23/'Data Sheet'!D$17</f>
        <v>7.4486404331372519E-2</v>
      </c>
      <c r="G17" s="46">
        <f>'Data Sheet'!E23/'Data Sheet'!E$17</f>
        <v>8.8364825798777843E-2</v>
      </c>
      <c r="H17" s="46">
        <f>'Data Sheet'!F23/'Data Sheet'!F$17</f>
        <v>0.1049509032494859</v>
      </c>
      <c r="I17" s="46">
        <f>'Data Sheet'!G23/'Data Sheet'!G$17</f>
        <v>0.12042281158121151</v>
      </c>
      <c r="J17" s="46">
        <f>'Data Sheet'!H23/'Data Sheet'!H$17</f>
        <v>9.1428629009620357E-2</v>
      </c>
      <c r="K17" s="46">
        <f>'Data Sheet'!I23/'Data Sheet'!I$17</f>
        <v>7.6870501462809049E-2</v>
      </c>
      <c r="L17" s="46">
        <f>'Data Sheet'!J23/'Data Sheet'!J$17</f>
        <v>8.5971607524017252E-2</v>
      </c>
      <c r="M17" s="46">
        <f>'Data Sheet'!K23/'Data Sheet'!K$17</f>
        <v>0</v>
      </c>
    </row>
    <row r="18" spans="2:13" x14ac:dyDescent="0.25">
      <c r="B18" s="242" t="s">
        <v>53</v>
      </c>
      <c r="C18" s="24"/>
      <c r="D18" s="46">
        <f>'Data Sheet'!B24/'Data Sheet'!B$17</f>
        <v>-1.1886287846270677E-2</v>
      </c>
      <c r="E18" s="46">
        <f>'Data Sheet'!C24/'Data Sheet'!C$17</f>
        <v>-8.9520124755719608E-3</v>
      </c>
      <c r="F18" s="46">
        <f>'Data Sheet'!D24/'Data Sheet'!D$17</f>
        <v>-9.8561241278020996E-3</v>
      </c>
      <c r="G18" s="46">
        <f>'Data Sheet'!E24/'Data Sheet'!E$17</f>
        <v>-4.1102374119580459E-3</v>
      </c>
      <c r="H18" s="46">
        <f>'Data Sheet'!F24/'Data Sheet'!F$17</f>
        <v>-1.7697958198629414E-3</v>
      </c>
      <c r="I18" s="46">
        <f>'Data Sheet'!G24/'Data Sheet'!G$17</f>
        <v>2.0244173902600649E-3</v>
      </c>
      <c r="J18" s="46">
        <f>'Data Sheet'!H24/'Data Sheet'!H$17</f>
        <v>1.0839632460164712E-3</v>
      </c>
      <c r="K18" s="46">
        <f>'Data Sheet'!I24/'Data Sheet'!I$17</f>
        <v>9.8517108704284373E-3</v>
      </c>
      <c r="L18" s="46">
        <f>'Data Sheet'!J24/'Data Sheet'!J$17</f>
        <v>8.6937080733804125E-3</v>
      </c>
      <c r="M18" s="46">
        <f>'Data Sheet'!K24/'Data Sheet'!K$17</f>
        <v>0.14616152496182724</v>
      </c>
    </row>
    <row r="19" spans="2:13" x14ac:dyDescent="0.25">
      <c r="B19" s="45" t="s">
        <v>4</v>
      </c>
      <c r="C19" s="24"/>
      <c r="D19" s="46">
        <f>'Data Sheet'!B25/'Data Sheet'!B$17</f>
        <v>4.4801033079832568E-2</v>
      </c>
      <c r="E19" s="46">
        <f>'Data Sheet'!C25/'Data Sheet'!C$17</f>
        <v>3.0340117254584575E-2</v>
      </c>
      <c r="F19" s="46">
        <f>'Data Sheet'!D25/'Data Sheet'!D$17</f>
        <v>2.5251840347164829E-2</v>
      </c>
      <c r="G19" s="46">
        <f>'Data Sheet'!E25/'Data Sheet'!E$17</f>
        <v>1.4790520413064783E-2</v>
      </c>
      <c r="H19" s="46">
        <f>'Data Sheet'!F25/'Data Sheet'!F$17</f>
        <v>1.436283160627406E-2</v>
      </c>
      <c r="I19" s="46">
        <f>'Data Sheet'!G25/'Data Sheet'!G$17</f>
        <v>4.8105647138044251E-2</v>
      </c>
      <c r="J19" s="46">
        <f>'Data Sheet'!H25/'Data Sheet'!H$17</f>
        <v>2.8214713973337094E-2</v>
      </c>
      <c r="K19" s="46">
        <f>'Data Sheet'!I25/'Data Sheet'!I$17</f>
        <v>1.3715261137659232E-2</v>
      </c>
      <c r="L19" s="46">
        <f>'Data Sheet'!J25/'Data Sheet'!J$17</f>
        <v>1.7995842236338499E-2</v>
      </c>
      <c r="M19" s="46">
        <f>'Data Sheet'!K25/'Data Sheet'!K$17</f>
        <v>1.8635980565838043E-2</v>
      </c>
    </row>
    <row r="20" spans="2:13" x14ac:dyDescent="0.25">
      <c r="B20" s="45" t="s">
        <v>5</v>
      </c>
      <c r="C20" s="24"/>
      <c r="D20" s="46">
        <f>'Data Sheet'!B26/'Data Sheet'!B$17</f>
        <v>4.242744411793839E-2</v>
      </c>
      <c r="E20" s="46">
        <f>'Data Sheet'!C26/'Data Sheet'!C$17</f>
        <v>3.8315008192029057E-2</v>
      </c>
      <c r="F20" s="46">
        <f>'Data Sheet'!D26/'Data Sheet'!D$17</f>
        <v>4.2745693063100179E-2</v>
      </c>
      <c r="G20" s="46">
        <f>'Data Sheet'!E26/'Data Sheet'!E$17</f>
        <v>3.6833779958017863E-2</v>
      </c>
      <c r="H20" s="46">
        <f>'Data Sheet'!F26/'Data Sheet'!F$17</f>
        <v>3.721096267842508E-2</v>
      </c>
      <c r="I20" s="46">
        <f>'Data Sheet'!G26/'Data Sheet'!G$17</f>
        <v>5.6983918319905125E-2</v>
      </c>
      <c r="J20" s="46">
        <f>'Data Sheet'!H26/'Data Sheet'!H$17</f>
        <v>4.2871969977241089E-2</v>
      </c>
      <c r="K20" s="46">
        <f>'Data Sheet'!I26/'Data Sheet'!I$17</f>
        <v>4.5987202132369384E-2</v>
      </c>
      <c r="L20" s="46">
        <f>'Data Sheet'!J26/'Data Sheet'!J$17</f>
        <v>5.6540246774062587E-2</v>
      </c>
      <c r="M20" s="46">
        <f>'Data Sheet'!K26/'Data Sheet'!K$17</f>
        <v>5.50807355293342E-2</v>
      </c>
    </row>
    <row r="21" spans="2:13" x14ac:dyDescent="0.25">
      <c r="B21" s="45" t="s">
        <v>6</v>
      </c>
      <c r="C21" s="24"/>
      <c r="D21" s="46">
        <f>'Data Sheet'!B27/'Data Sheet'!B$17</f>
        <v>1.3540829765612676E-2</v>
      </c>
      <c r="E21" s="46">
        <f>'Data Sheet'!C27/'Data Sheet'!C$17</f>
        <v>1.2663100337551077E-2</v>
      </c>
      <c r="F21" s="46">
        <f>'Data Sheet'!D27/'Data Sheet'!D$17</f>
        <v>2.0602676915125261E-2</v>
      </c>
      <c r="G21" s="46">
        <f>'Data Sheet'!E27/'Data Sheet'!E$17</f>
        <v>2.902327316363355E-2</v>
      </c>
      <c r="H21" s="46">
        <f>'Data Sheet'!F27/'Data Sheet'!F$17</f>
        <v>3.6915996708447925E-2</v>
      </c>
      <c r="I21" s="46">
        <f>'Data Sheet'!G27/'Data Sheet'!G$17</f>
        <v>4.5440021273538675E-2</v>
      </c>
      <c r="J21" s="46">
        <f>'Data Sheet'!H27/'Data Sheet'!H$17</f>
        <v>2.0994050438119805E-2</v>
      </c>
      <c r="K21" s="46">
        <f>'Data Sheet'!I27/'Data Sheet'!I$17</f>
        <v>2.2331229261657971E-2</v>
      </c>
      <c r="L21" s="46">
        <f>'Data Sheet'!J27/'Data Sheet'!J$17</f>
        <v>2.5714066433010285E-2</v>
      </c>
      <c r="M21" s="46">
        <f>'Data Sheet'!K27/'Data Sheet'!K$17</f>
        <v>2.515722618491064E-2</v>
      </c>
    </row>
    <row r="22" spans="2:13" x14ac:dyDescent="0.25">
      <c r="B22" s="45" t="s">
        <v>7</v>
      </c>
      <c r="C22" s="24"/>
      <c r="D22" s="46">
        <f>'Data Sheet'!B28/'Data Sheet'!B$17</f>
        <v>0.14211084330277382</v>
      </c>
      <c r="E22" s="46">
        <f>'Data Sheet'!C28/'Data Sheet'!C$17</f>
        <v>0.13171071938517012</v>
      </c>
      <c r="F22" s="46">
        <f>'Data Sheet'!D28/'Data Sheet'!D$17</f>
        <v>0.12646645668243681</v>
      </c>
      <c r="G22" s="46">
        <f>'Data Sheet'!E28/'Data Sheet'!E$17</f>
        <v>9.7172980115670812E-2</v>
      </c>
      <c r="H22" s="46">
        <f>'Data Sheet'!F28/'Data Sheet'!F$17</f>
        <v>8.9840601060201544E-2</v>
      </c>
      <c r="I22" s="46">
        <f>'Data Sheet'!G28/'Data Sheet'!G$17</f>
        <v>0.11893666618772611</v>
      </c>
      <c r="J22" s="46">
        <f>'Data Sheet'!H28/'Data Sheet'!H$17</f>
        <v>0.12065389039159431</v>
      </c>
      <c r="K22" s="46">
        <f>'Data Sheet'!I28/'Data Sheet'!I$17</f>
        <v>0.10778689085755755</v>
      </c>
      <c r="L22" s="46">
        <f>'Data Sheet'!J28/'Data Sheet'!J$17</f>
        <v>0.11648745719049521</v>
      </c>
      <c r="M22" s="46">
        <f>'Data Sheet'!K28/'Data Sheet'!K$17</f>
        <v>0.1098971382605658</v>
      </c>
    </row>
    <row r="23" spans="2:13" x14ac:dyDescent="0.25">
      <c r="B23" s="45" t="s">
        <v>8</v>
      </c>
      <c r="C23" s="24"/>
      <c r="D23" s="46">
        <f>'Data Sheet'!B29/'Data Sheet'!B$17</f>
        <v>3.2562558927005721E-2</v>
      </c>
      <c r="E23" s="46">
        <f>'Data Sheet'!C29/'Data Sheet'!C$17</f>
        <v>3.356099936174553E-2</v>
      </c>
      <c r="F23" s="46">
        <f>'Data Sheet'!D29/'Data Sheet'!D$17</f>
        <v>3.4148450833241646E-2</v>
      </c>
      <c r="G23" s="46">
        <f>'Data Sheet'!E29/'Data Sheet'!E$17</f>
        <v>2.707900418237771E-2</v>
      </c>
      <c r="H23" s="46">
        <f>'Data Sheet'!F29/'Data Sheet'!F$17</f>
        <v>2.3003993772195769E-2</v>
      </c>
      <c r="I23" s="46">
        <f>'Data Sheet'!G29/'Data Sheet'!G$17</f>
        <v>3.6928461292667705E-3</v>
      </c>
      <c r="J23" s="46">
        <f>'Data Sheet'!H29/'Data Sheet'!H$17</f>
        <v>2.2989233783377215E-2</v>
      </c>
      <c r="K23" s="46">
        <f>'Data Sheet'!I29/'Data Sheet'!I$17</f>
        <v>2.3249763805403036E-2</v>
      </c>
      <c r="L23" s="46">
        <f>'Data Sheet'!J29/'Data Sheet'!J$17</f>
        <v>2.8593801617501316E-2</v>
      </c>
      <c r="M23" s="46">
        <f>'Data Sheet'!K29/'Data Sheet'!K$17</f>
        <v>2.6153398024034588E-2</v>
      </c>
    </row>
    <row r="24" spans="2:13" x14ac:dyDescent="0.25">
      <c r="B24" s="45" t="s">
        <v>9</v>
      </c>
      <c r="C24" s="24"/>
      <c r="D24" s="46">
        <f>'Data Sheet'!B30/'Data Sheet'!B$17</f>
        <v>0.10912272592201275</v>
      </c>
      <c r="E24" s="46">
        <f>'Data Sheet'!C30/'Data Sheet'!C$17</f>
        <v>9.837343808602618E-2</v>
      </c>
      <c r="F24" s="46">
        <f>'Data Sheet'!D30/'Data Sheet'!D$17</f>
        <v>9.2305212333972153E-2</v>
      </c>
      <c r="G24" s="46">
        <f>'Data Sheet'!E30/'Data Sheet'!E$17</f>
        <v>6.9655855592720514E-2</v>
      </c>
      <c r="H24" s="46">
        <f>'Data Sheet'!F30/'Data Sheet'!F$17</f>
        <v>6.5955061264096781E-2</v>
      </c>
      <c r="I24" s="46">
        <f>'Data Sheet'!G30/'Data Sheet'!G$17</f>
        <v>0.10535548469141574</v>
      </c>
      <c r="J24" s="46">
        <f>'Data Sheet'!H30/'Data Sheet'!H$17</f>
        <v>8.7386439375072872E-2</v>
      </c>
      <c r="K24" s="46">
        <f>'Data Sheet'!I30/'Data Sheet'!I$17</f>
        <v>7.6109429983705998E-2</v>
      </c>
      <c r="L24" s="46">
        <f>'Data Sheet'!J30/'Data Sheet'!J$17</f>
        <v>7.7439182417709543E-2</v>
      </c>
      <c r="M24" s="46">
        <f>'Data Sheet'!K30/'Data Sheet'!K$17</f>
        <v>7.2197061655884312E-2</v>
      </c>
    </row>
    <row r="25" spans="2:13" ht="15.75" thickBot="1" x14ac:dyDescent="0.3">
      <c r="B25" s="243" t="s">
        <v>37</v>
      </c>
      <c r="C25" s="111"/>
      <c r="D25" s="244">
        <f>'Data Sheet'!B31/'Data Sheet'!B$17</f>
        <v>1.135580722202045E-2</v>
      </c>
      <c r="E25" s="244">
        <f>'Data Sheet'!C31/'Data Sheet'!C$17</f>
        <v>1.0708528264145234E-2</v>
      </c>
      <c r="F25" s="244">
        <f>'Data Sheet'!D31/'Data Sheet'!D$17</f>
        <v>9.0915836580753948E-3</v>
      </c>
      <c r="G25" s="244">
        <f>'Data Sheet'!E31/'Data Sheet'!E$17</f>
        <v>6.7774929311306496E-3</v>
      </c>
      <c r="H25" s="244">
        <f>'Data Sheet'!F31/'Data Sheet'!F$17</f>
        <v>6.9054717863373779E-3</v>
      </c>
      <c r="I25" s="244">
        <f>'Data Sheet'!G31/'Data Sheet'!G$17</f>
        <v>9.6749566272863151E-3</v>
      </c>
      <c r="J25" s="244">
        <f>'Data Sheet'!H31/'Data Sheet'!H$17</f>
        <v>7.7907159195765487E-3</v>
      </c>
      <c r="K25" s="244">
        <f>'Data Sheet'!I31/'Data Sheet'!I$17</f>
        <v>6.9482288828337868E-3</v>
      </c>
      <c r="L25" s="244">
        <f>'Data Sheet'!J31/'Data Sheet'!J$17</f>
        <v>7.5257969325091961E-3</v>
      </c>
      <c r="M25" s="244">
        <f>'Data Sheet'!K31/'Data Sheet'!K$17</f>
        <v>7.7149932672881429E-3</v>
      </c>
    </row>
    <row r="27" spans="2:13" ht="15.75" x14ac:dyDescent="0.25">
      <c r="B27" s="306" t="str">
        <f>"Balance Sheet - "&amp;'Data Sheet'!B20</f>
        <v>Balance Sheet - 10741</v>
      </c>
      <c r="C27" s="306"/>
      <c r="D27" s="306"/>
      <c r="E27" s="306"/>
      <c r="F27" s="306"/>
      <c r="G27" s="306"/>
      <c r="H27" s="306"/>
      <c r="I27" s="306"/>
      <c r="J27" s="306"/>
      <c r="K27" s="306"/>
      <c r="L27" s="306"/>
      <c r="M27" s="11"/>
    </row>
    <row r="28" spans="2:13" x14ac:dyDescent="0.25">
      <c r="B28" s="12" t="s">
        <v>64</v>
      </c>
      <c r="C28" s="17"/>
      <c r="D28" s="18">
        <f>D9</f>
        <v>42460</v>
      </c>
      <c r="E28" s="18">
        <f t="shared" ref="E28:L28" si="0">E9</f>
        <v>42825</v>
      </c>
      <c r="F28" s="18">
        <f t="shared" si="0"/>
        <v>43190</v>
      </c>
      <c r="G28" s="18">
        <f t="shared" si="0"/>
        <v>43555</v>
      </c>
      <c r="H28" s="18">
        <f t="shared" si="0"/>
        <v>43921</v>
      </c>
      <c r="I28" s="18">
        <f t="shared" si="0"/>
        <v>44286</v>
      </c>
      <c r="J28" s="18">
        <f t="shared" si="0"/>
        <v>44651</v>
      </c>
      <c r="K28" s="18">
        <f t="shared" si="0"/>
        <v>45016</v>
      </c>
      <c r="L28" s="18">
        <f t="shared" si="0"/>
        <v>45382</v>
      </c>
      <c r="M28" s="18">
        <f t="shared" ref="M28" si="1">M9</f>
        <v>45747</v>
      </c>
    </row>
    <row r="30" spans="2:13" ht="15.75" thickBot="1" x14ac:dyDescent="0.3">
      <c r="B30" s="40" t="s">
        <v>153</v>
      </c>
      <c r="C30" s="40"/>
      <c r="D30" s="120">
        <f>'Data Sheet'!B61/'Data Sheet'!B$61</f>
        <v>1</v>
      </c>
      <c r="E30" s="120">
        <f>'Data Sheet'!C61/'Data Sheet'!C$61</f>
        <v>1</v>
      </c>
      <c r="F30" s="120">
        <f>'Data Sheet'!D61/'Data Sheet'!D$61</f>
        <v>1</v>
      </c>
      <c r="G30" s="120">
        <f>'Data Sheet'!E61/'Data Sheet'!E$61</f>
        <v>1</v>
      </c>
      <c r="H30" s="120">
        <f>'Data Sheet'!F61/'Data Sheet'!F$61</f>
        <v>1</v>
      </c>
      <c r="I30" s="120">
        <f>'Data Sheet'!G61/'Data Sheet'!G$61</f>
        <v>1</v>
      </c>
      <c r="J30" s="120">
        <f>'Data Sheet'!H61/'Data Sheet'!H$61</f>
        <v>1</v>
      </c>
      <c r="K30" s="120">
        <f>'Data Sheet'!I61/'Data Sheet'!I$61</f>
        <v>1</v>
      </c>
      <c r="L30" s="120">
        <f>'Data Sheet'!J61/'Data Sheet'!J$61</f>
        <v>1</v>
      </c>
      <c r="M30" s="120">
        <f>'Data Sheet'!K61/'Data Sheet'!K$61</f>
        <v>1</v>
      </c>
    </row>
    <row r="31" spans="2:13" x14ac:dyDescent="0.25">
      <c r="B31" s="245" t="s">
        <v>11</v>
      </c>
      <c r="C31" s="36"/>
      <c r="D31" s="246">
        <f>'Data Sheet'!B57/'Data Sheet'!B$61</f>
        <v>4.921560542039443E-3</v>
      </c>
      <c r="E31" s="246">
        <f>'Data Sheet'!C57/'Data Sheet'!C$61</f>
        <v>4.1864624038981217E-3</v>
      </c>
      <c r="F31" s="246">
        <f>'Data Sheet'!D57/'Data Sheet'!D$61</f>
        <v>7.299638962470093E-3</v>
      </c>
      <c r="G31" s="246">
        <f>'Data Sheet'!E57/'Data Sheet'!E$61</f>
        <v>5.9400779848240333E-3</v>
      </c>
      <c r="H31" s="246">
        <f>'Data Sheet'!F57/'Data Sheet'!F$61</f>
        <v>5.4504886007489158E-3</v>
      </c>
      <c r="I31" s="246">
        <f>'Data Sheet'!G57/'Data Sheet'!G$61</f>
        <v>4.8823353395476736E-3</v>
      </c>
      <c r="J31" s="246">
        <f>'Data Sheet'!H57/'Data Sheet'!H$61</f>
        <v>4.5141469963740025E-3</v>
      </c>
      <c r="K31" s="246">
        <f>'Data Sheet'!I57/'Data Sheet'!I$61</f>
        <v>4.2132609992515018E-3</v>
      </c>
      <c r="L31" s="246">
        <f>'Data Sheet'!J57/'Data Sheet'!J$61</f>
        <v>3.8551652148545224E-3</v>
      </c>
      <c r="M31" s="246">
        <f>'Data Sheet'!K57/'Data Sheet'!K$61</f>
        <v>6.9390566021287911E-3</v>
      </c>
    </row>
    <row r="32" spans="2:13" x14ac:dyDescent="0.25">
      <c r="B32" s="45" t="s">
        <v>12</v>
      </c>
      <c r="C32" s="24"/>
      <c r="D32" s="193">
        <f>'Data Sheet'!B58/'Data Sheet'!B$61</f>
        <v>0.38165132713519434</v>
      </c>
      <c r="E32" s="193">
        <f>'Data Sheet'!C58/'Data Sheet'!C$61</f>
        <v>0.36891519831579422</v>
      </c>
      <c r="F32" s="193">
        <f>'Data Sheet'!D58/'Data Sheet'!D$61</f>
        <v>0.35448486514403904</v>
      </c>
      <c r="G32" s="193">
        <f>'Data Sheet'!E58/'Data Sheet'!E$61</f>
        <v>0.38209155699006647</v>
      </c>
      <c r="H32" s="193">
        <f>'Data Sheet'!F58/'Data Sheet'!F$61</f>
        <v>0.38075777182581483</v>
      </c>
      <c r="I32" s="193">
        <f>'Data Sheet'!G58/'Data Sheet'!G$61</f>
        <v>0.52552487945669346</v>
      </c>
      <c r="J32" s="193">
        <f>'Data Sheet'!H58/'Data Sheet'!H$61</f>
        <v>0.51562034989477001</v>
      </c>
      <c r="K32" s="193">
        <f>'Data Sheet'!I58/'Data Sheet'!I$61</f>
        <v>0.44156793587573684</v>
      </c>
      <c r="L32" s="193">
        <f>'Data Sheet'!J58/'Data Sheet'!J$61</f>
        <v>0.4482583952119828</v>
      </c>
      <c r="M32" s="193">
        <f>'Data Sheet'!K58/'Data Sheet'!K$61</f>
        <v>0.42544436986217776</v>
      </c>
    </row>
    <row r="33" spans="2:13" x14ac:dyDescent="0.25">
      <c r="B33" s="45" t="s">
        <v>38</v>
      </c>
      <c r="C33" s="24"/>
      <c r="D33" s="193">
        <f>'Data Sheet'!B59/'Data Sheet'!B$61</f>
        <v>0.32506673656128493</v>
      </c>
      <c r="E33" s="193">
        <f>'Data Sheet'!C59/'Data Sheet'!C$61</f>
        <v>0.30768871621755456</v>
      </c>
      <c r="F33" s="193">
        <f>'Data Sheet'!D59/'Data Sheet'!D$61</f>
        <v>0.29563784324142428</v>
      </c>
      <c r="G33" s="193">
        <f>'Data Sheet'!E59/'Data Sheet'!E$61</f>
        <v>0.30844501468480301</v>
      </c>
      <c r="H33" s="193">
        <f>'Data Sheet'!F59/'Data Sheet'!F$61</f>
        <v>0.30535547692850051</v>
      </c>
      <c r="I33" s="193">
        <f>'Data Sheet'!G59/'Data Sheet'!G$61</f>
        <v>0.21132444235700515</v>
      </c>
      <c r="J33" s="193">
        <f>'Data Sheet'!H59/'Data Sheet'!H$61</f>
        <v>0.21296764627771381</v>
      </c>
      <c r="K33" s="193">
        <f>'Data Sheet'!I59/'Data Sheet'!I$61</f>
        <v>0.28125603251048331</v>
      </c>
      <c r="L33" s="193">
        <f>'Data Sheet'!J59/'Data Sheet'!J$61</f>
        <v>0.26152618048053389</v>
      </c>
      <c r="M33" s="193">
        <f>'Data Sheet'!K59/'Data Sheet'!K$61</f>
        <v>0.18951388144633077</v>
      </c>
    </row>
    <row r="34" spans="2:13" ht="15.75" thickBot="1" x14ac:dyDescent="0.3">
      <c r="B34" s="243" t="s">
        <v>39</v>
      </c>
      <c r="C34" s="111"/>
      <c r="D34" s="217">
        <f>'Data Sheet'!B60/'Data Sheet'!B$61</f>
        <v>0.28836037576148127</v>
      </c>
      <c r="E34" s="217">
        <f>'Data Sheet'!C60/'Data Sheet'!C$61</f>
        <v>0.31920962306275308</v>
      </c>
      <c r="F34" s="217">
        <f>'Data Sheet'!D60/'Data Sheet'!D$61</f>
        <v>0.34257765265206658</v>
      </c>
      <c r="G34" s="217">
        <f>'Data Sheet'!E60/'Data Sheet'!E$61</f>
        <v>0.30352335034030653</v>
      </c>
      <c r="H34" s="217">
        <f>'Data Sheet'!F60/'Data Sheet'!F$61</f>
        <v>0.30843626264493579</v>
      </c>
      <c r="I34" s="217">
        <f>'Data Sheet'!G60/'Data Sheet'!G$61</f>
        <v>0.25826834284675376</v>
      </c>
      <c r="J34" s="217">
        <f>'Data Sheet'!H60/'Data Sheet'!H$61</f>
        <v>0.2668978568311422</v>
      </c>
      <c r="K34" s="217">
        <f>'Data Sheet'!I60/'Data Sheet'!I$61</f>
        <v>0.27296277061452834</v>
      </c>
      <c r="L34" s="217">
        <f>'Data Sheet'!J60/'Data Sheet'!J$61</f>
        <v>0.2863602590926288</v>
      </c>
      <c r="M34" s="217">
        <f>'Data Sheet'!K60/'Data Sheet'!K$61</f>
        <v>0.37810269208936265</v>
      </c>
    </row>
    <row r="36" spans="2:13" ht="15.75" thickBot="1" x14ac:dyDescent="0.3">
      <c r="B36" s="247" t="s">
        <v>87</v>
      </c>
      <c r="C36" s="40"/>
      <c r="D36" s="112">
        <f>'Data Sheet'!B66/'Data Sheet'!B$66</f>
        <v>1</v>
      </c>
      <c r="E36" s="112">
        <f>'Data Sheet'!C66/'Data Sheet'!C$66</f>
        <v>1</v>
      </c>
      <c r="F36" s="112">
        <f>'Data Sheet'!D66/'Data Sheet'!D$66</f>
        <v>1</v>
      </c>
      <c r="G36" s="112">
        <f>'Data Sheet'!E66/'Data Sheet'!E$66</f>
        <v>1</v>
      </c>
      <c r="H36" s="112">
        <f>'Data Sheet'!F66/'Data Sheet'!F$66</f>
        <v>1</v>
      </c>
      <c r="I36" s="112">
        <f>'Data Sheet'!G66/'Data Sheet'!G$66</f>
        <v>1</v>
      </c>
      <c r="J36" s="112">
        <f>'Data Sheet'!H66/'Data Sheet'!H$66</f>
        <v>1</v>
      </c>
      <c r="K36" s="112">
        <f>'Data Sheet'!I66/'Data Sheet'!I$66</f>
        <v>1</v>
      </c>
      <c r="L36" s="112">
        <f>'Data Sheet'!J66/'Data Sheet'!J$66</f>
        <v>1</v>
      </c>
      <c r="M36" s="112">
        <f>'Data Sheet'!K66/'Data Sheet'!K$66</f>
        <v>1</v>
      </c>
    </row>
    <row r="37" spans="2:13" x14ac:dyDescent="0.25">
      <c r="B37" s="248" t="s">
        <v>14</v>
      </c>
      <c r="C37" s="240"/>
      <c r="D37" s="249">
        <f>'Data Sheet'!B62/'Data Sheet'!B$66</f>
        <v>0.30869937578986206</v>
      </c>
      <c r="E37" s="249">
        <f>'Data Sheet'!C62/'Data Sheet'!C$66</f>
        <v>0.28087922784598801</v>
      </c>
      <c r="F37" s="249">
        <f>'Data Sheet'!D62/'Data Sheet'!D$66</f>
        <v>0.49784104734164702</v>
      </c>
      <c r="G37" s="249">
        <f>'Data Sheet'!E62/'Data Sheet'!E$66</f>
        <v>0.39932038932269481</v>
      </c>
      <c r="H37" s="249">
        <f>'Data Sheet'!F62/'Data Sheet'!F$66</f>
        <v>0.45799753227602397</v>
      </c>
      <c r="I37" s="249">
        <f>'Data Sheet'!G62/'Data Sheet'!G$66</f>
        <v>0.41002374883054998</v>
      </c>
      <c r="J37" s="249">
        <f>'Data Sheet'!H62/'Data Sheet'!H$66</f>
        <v>0.41891684494155296</v>
      </c>
      <c r="K37" s="249">
        <f>'Data Sheet'!I62/'Data Sheet'!I$66</f>
        <v>0.4513438720902283</v>
      </c>
      <c r="L37" s="249">
        <f>'Data Sheet'!J62/'Data Sheet'!J$66</f>
        <v>0.44442374225662207</v>
      </c>
      <c r="M37" s="249">
        <f>'Data Sheet'!K62/'Data Sheet'!K$66</f>
        <v>0.55998627777455856</v>
      </c>
    </row>
    <row r="38" spans="2:13" x14ac:dyDescent="0.25">
      <c r="B38" s="45" t="s">
        <v>15</v>
      </c>
      <c r="C38" s="24"/>
      <c r="D38" s="193">
        <f>'Data Sheet'!B63/'Data Sheet'!B$66</f>
        <v>0.3817999088476236</v>
      </c>
      <c r="E38" s="193">
        <f>'Data Sheet'!C63/'Data Sheet'!C$66</f>
        <v>0.4595869847566928</v>
      </c>
      <c r="F38" s="193">
        <f>'Data Sheet'!D63/'Data Sheet'!D$66</f>
        <v>0.23052905741963556</v>
      </c>
      <c r="G38" s="193">
        <f>'Data Sheet'!E63/'Data Sheet'!E$66</f>
        <v>0.17988933773042109</v>
      </c>
      <c r="H38" s="193">
        <f>'Data Sheet'!F63/'Data Sheet'!F$66</f>
        <v>9.3813063460058549E-2</v>
      </c>
      <c r="I38" s="193">
        <f>'Data Sheet'!G63/'Data Sheet'!G$66</f>
        <v>9.5414240965407002E-2</v>
      </c>
      <c r="J38" s="193">
        <f>'Data Sheet'!H63/'Data Sheet'!H$66</f>
        <v>0.11510974748802566</v>
      </c>
      <c r="K38" s="193">
        <f>'Data Sheet'!I63/'Data Sheet'!I$66</f>
        <v>0.18292253104524492</v>
      </c>
      <c r="L38" s="193">
        <f>'Data Sheet'!J63/'Data Sheet'!J$66</f>
        <v>0.19307449140992156</v>
      </c>
      <c r="M38" s="193">
        <f>'Data Sheet'!K63/'Data Sheet'!K$66</f>
        <v>8.7025369195039698E-2</v>
      </c>
    </row>
    <row r="39" spans="2:13" x14ac:dyDescent="0.25">
      <c r="B39" s="45" t="s">
        <v>16</v>
      </c>
      <c r="C39" s="24"/>
      <c r="D39" s="193">
        <f>'Data Sheet'!B64/'Data Sheet'!B$66</f>
        <v>0.14025946707579504</v>
      </c>
      <c r="E39" s="193">
        <f>'Data Sheet'!C64/'Data Sheet'!C$66</f>
        <v>0.11728744400836444</v>
      </c>
      <c r="F39" s="193">
        <f>'Data Sheet'!D64/'Data Sheet'!D$66</f>
        <v>0.10213824446271477</v>
      </c>
      <c r="G39" s="193">
        <f>'Data Sheet'!E64/'Data Sheet'!E$66</f>
        <v>0.23619478163246896</v>
      </c>
      <c r="H39" s="193">
        <f>'Data Sheet'!F64/'Data Sheet'!F$66</f>
        <v>0.2379737148704015</v>
      </c>
      <c r="I39" s="193">
        <f>'Data Sheet'!G64/'Data Sheet'!G$66</f>
        <v>0.27637123929503471</v>
      </c>
      <c r="J39" s="193">
        <f>'Data Sheet'!H64/'Data Sheet'!H$66</f>
        <v>0.26308435349274201</v>
      </c>
      <c r="K39" s="193">
        <f>'Data Sheet'!I64/'Data Sheet'!I$66</f>
        <v>0.14668574652433988</v>
      </c>
      <c r="L39" s="193">
        <f>'Data Sheet'!J64/'Data Sheet'!J$66</f>
        <v>0.12858451734653412</v>
      </c>
      <c r="M39" s="193">
        <f>'Data Sheet'!K64/'Data Sheet'!K$66</f>
        <v>0.12429023634943678</v>
      </c>
    </row>
    <row r="40" spans="2:13" x14ac:dyDescent="0.25">
      <c r="B40" s="45" t="s">
        <v>40</v>
      </c>
      <c r="C40" s="24"/>
      <c r="D40" s="193">
        <f>'Historical Financial Statement'!D62/'Data Sheet'!B66</f>
        <v>6.5769945425436183E-2</v>
      </c>
      <c r="E40" s="193">
        <f>'Historical Financial Statement'!E62/'Data Sheet'!C66</f>
        <v>5.7143301801636105E-2</v>
      </c>
      <c r="F40" s="193">
        <f>'Historical Financial Statement'!F62/'Data Sheet'!D66</f>
        <v>6.7618421912229304E-2</v>
      </c>
      <c r="G40" s="193">
        <f>'Historical Financial Statement'!G62/'Data Sheet'!E66</f>
        <v>7.5606186662389857E-2</v>
      </c>
      <c r="H40" s="193">
        <f>'Historical Financial Statement'!H62/'Data Sheet'!F66</f>
        <v>0.10318439573006367</v>
      </c>
      <c r="I40" s="193">
        <f>'Historical Financial Statement'!I62/'Data Sheet'!G66</f>
        <v>0.12873835758087671</v>
      </c>
      <c r="J40" s="193">
        <f>'Historical Financial Statement'!J62/'Data Sheet'!H66</f>
        <v>9.1055649790274001E-2</v>
      </c>
      <c r="K40" s="193">
        <f>'Historical Financial Statement'!K62/'Data Sheet'!I66</f>
        <v>7.1390675030917589E-2</v>
      </c>
      <c r="L40" s="193">
        <f>'Historical Financial Statement'!L62/'Data Sheet'!J66</f>
        <v>7.345269189218756E-2</v>
      </c>
      <c r="M40" s="193">
        <f>'Historical Financial Statement'!M62/'Data Sheet'!K66</f>
        <v>7.7586980500184352E-2</v>
      </c>
    </row>
    <row r="41" spans="2:13" x14ac:dyDescent="0.25">
      <c r="B41" s="45" t="s">
        <v>45</v>
      </c>
      <c r="C41" s="24"/>
      <c r="D41" s="193">
        <f>'Data Sheet'!B67/'Data Sheet'!B$66</f>
        <v>7.454127483109264E-3</v>
      </c>
      <c r="E41" s="193">
        <f>'Data Sheet'!C67/'Data Sheet'!C$66</f>
        <v>1.1569010840376795E-2</v>
      </c>
      <c r="F41" s="193">
        <f>'Data Sheet'!D67/'Data Sheet'!D$66</f>
        <v>2.1638831811239868E-2</v>
      </c>
      <c r="G41" s="193">
        <f>'Data Sheet'!E67/'Data Sheet'!E$66</f>
        <v>3.0160480338402011E-2</v>
      </c>
      <c r="H41" s="193">
        <f>'Data Sheet'!F67/'Data Sheet'!F$66</f>
        <v>1.690089981642541E-2</v>
      </c>
      <c r="I41" s="193">
        <f>'Data Sheet'!G67/'Data Sheet'!G$66</f>
        <v>1.4403836174733819E-2</v>
      </c>
      <c r="J41" s="193">
        <f>'Data Sheet'!H67/'Data Sheet'!H$66</f>
        <v>1.5774491499524229E-2</v>
      </c>
      <c r="K41" s="193">
        <f>'Data Sheet'!I67/'Data Sheet'!I$66</f>
        <v>1.7714875688251069E-2</v>
      </c>
      <c r="L41" s="193">
        <f>'Data Sheet'!J67/'Data Sheet'!J$66</f>
        <v>1.8021159535237783E-2</v>
      </c>
      <c r="M41" s="193">
        <f>'Data Sheet'!K67/'Data Sheet'!K$66</f>
        <v>2.1599172564163969E-2</v>
      </c>
    </row>
    <row r="42" spans="2:13" x14ac:dyDescent="0.25">
      <c r="B42" s="45" t="s">
        <v>30</v>
      </c>
      <c r="C42" s="24"/>
      <c r="D42" s="193">
        <f>'Data Sheet'!B68/'Data Sheet'!B$66</f>
        <v>7.7606398696487625E-2</v>
      </c>
      <c r="E42" s="193">
        <f>'Data Sheet'!C68/'Data Sheet'!C$66</f>
        <v>6.9257019646237566E-2</v>
      </c>
      <c r="F42" s="193">
        <f>'Data Sheet'!D68/'Data Sheet'!D$66</f>
        <v>7.4989553454878941E-2</v>
      </c>
      <c r="G42" s="193">
        <f>'Data Sheet'!E68/'Data Sheet'!E$66</f>
        <v>6.77214999548931E-2</v>
      </c>
      <c r="H42" s="193">
        <f>'Data Sheet'!F68/'Data Sheet'!F$66</f>
        <v>6.3544322300228287E-2</v>
      </c>
      <c r="I42" s="193">
        <f>'Data Sheet'!G68/'Data Sheet'!G$66</f>
        <v>6.1869680659664486E-2</v>
      </c>
      <c r="J42" s="193">
        <f>'Data Sheet'!H68/'Data Sheet'!H$66</f>
        <v>7.1918068732475568E-2</v>
      </c>
      <c r="K42" s="193">
        <f>'Data Sheet'!I68/'Data Sheet'!I$66</f>
        <v>8.7184488025894805E-2</v>
      </c>
      <c r="L42" s="193">
        <f>'Data Sheet'!J68/'Data Sheet'!J$66</f>
        <v>8.7046052301703425E-2</v>
      </c>
      <c r="M42" s="193">
        <f>'Data Sheet'!K68/'Data Sheet'!K$66</f>
        <v>7.4898942168203919E-2</v>
      </c>
    </row>
    <row r="43" spans="2:13" ht="15.75" thickBot="1" x14ac:dyDescent="0.3">
      <c r="B43" s="250" t="s">
        <v>54</v>
      </c>
      <c r="C43" s="111"/>
      <c r="D43" s="217">
        <f>'Data Sheet'!B69/'Data Sheet'!B$66</f>
        <v>1.8410776681686218E-2</v>
      </c>
      <c r="E43" s="217">
        <f>'Data Sheet'!C69/'Data Sheet'!C$66</f>
        <v>4.2770111007042989E-3</v>
      </c>
      <c r="F43" s="217">
        <f>'Data Sheet'!D69/'Data Sheet'!D$66</f>
        <v>5.2448435976545508E-3</v>
      </c>
      <c r="G43" s="217">
        <f>'Data Sheet'!E69/'Data Sheet'!E$66</f>
        <v>1.1107324358730191E-2</v>
      </c>
      <c r="H43" s="217">
        <f>'Data Sheet'!F69/'Data Sheet'!F$66</f>
        <v>2.6586071546798623E-2</v>
      </c>
      <c r="I43" s="217">
        <f>'Data Sheet'!G69/'Data Sheet'!G$66</f>
        <v>1.3178896493733263E-2</v>
      </c>
      <c r="J43" s="217">
        <f>'Data Sheet'!H69/'Data Sheet'!H$66</f>
        <v>2.4140844055405567E-2</v>
      </c>
      <c r="K43" s="217">
        <f>'Data Sheet'!I69/'Data Sheet'!I$66</f>
        <v>4.2757811595123429E-2</v>
      </c>
      <c r="L43" s="217">
        <f>'Data Sheet'!J69/'Data Sheet'!J$66</f>
        <v>5.5397345257793516E-2</v>
      </c>
      <c r="M43" s="217">
        <f>'Data Sheet'!K69/'Data Sheet'!K$66</f>
        <v>5.4613021448412687E-2</v>
      </c>
    </row>
    <row r="45" spans="2:13" x14ac:dyDescent="0.25">
      <c r="B45" s="17"/>
      <c r="C45" s="17"/>
      <c r="D45" s="17"/>
      <c r="E45" s="17"/>
      <c r="F45" s="17"/>
      <c r="G45" s="17"/>
      <c r="H45" s="17"/>
      <c r="I45" s="17"/>
      <c r="J45" s="17"/>
      <c r="K45" s="17"/>
      <c r="L45" s="17"/>
      <c r="M45" s="17"/>
    </row>
    <row r="50" spans="2:13" x14ac:dyDescent="0.25">
      <c r="B50" s="272" t="s">
        <v>731</v>
      </c>
      <c r="M50" s="273" t="s">
        <v>734</v>
      </c>
    </row>
    <row r="51" spans="2:13" x14ac:dyDescent="0.25">
      <c r="B51" s="272" t="s">
        <v>733</v>
      </c>
      <c r="M51" s="273" t="s">
        <v>735</v>
      </c>
    </row>
  </sheetData>
  <mergeCells count="4">
    <mergeCell ref="B27:L27"/>
    <mergeCell ref="B6:F6"/>
    <mergeCell ref="B8:L8"/>
    <mergeCell ref="B1:F5"/>
  </mergeCells>
  <pageMargins left="0.34" right="0.3" top="0.75" bottom="0.75" header="0.3" footer="0.3"/>
  <pageSetup paperSize="9" scale="8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E2ADC-EEAD-4005-96A2-AF2ED60628EC}">
  <dimension ref="B1:K72"/>
  <sheetViews>
    <sheetView showGridLines="0" view="pageBreakPreview" topLeftCell="A33" zoomScale="70" zoomScaleNormal="100" zoomScaleSheetLayoutView="70" workbookViewId="0">
      <selection activeCell="T70" sqref="T70"/>
    </sheetView>
  </sheetViews>
  <sheetFormatPr defaultRowHeight="15" x14ac:dyDescent="0.25"/>
  <cols>
    <col min="1" max="1" width="1.42578125" customWidth="1"/>
    <col min="2" max="5" width="15.7109375" customWidth="1"/>
  </cols>
  <sheetData>
    <row r="1" spans="2:11" x14ac:dyDescent="0.25">
      <c r="B1" s="317" t="str">
        <f>'Data Sheet'!B1</f>
        <v>RELIANCE INDUSTRIES LTD</v>
      </c>
      <c r="C1" s="317"/>
      <c r="D1" s="317"/>
      <c r="E1" s="317"/>
      <c r="F1" s="317"/>
      <c r="G1" s="11"/>
      <c r="H1" s="11"/>
      <c r="I1" s="11"/>
      <c r="J1" s="11"/>
      <c r="K1" s="11"/>
    </row>
    <row r="2" spans="2:11" x14ac:dyDescent="0.25">
      <c r="B2" s="317"/>
      <c r="C2" s="317"/>
      <c r="D2" s="317"/>
      <c r="E2" s="317"/>
      <c r="F2" s="317"/>
      <c r="G2" s="11"/>
      <c r="H2" s="11"/>
      <c r="I2" s="11"/>
      <c r="J2" s="11"/>
      <c r="K2" s="11"/>
    </row>
    <row r="3" spans="2:11" x14ac:dyDescent="0.25">
      <c r="B3" s="317"/>
      <c r="C3" s="317"/>
      <c r="D3" s="317"/>
      <c r="E3" s="317"/>
      <c r="F3" s="317"/>
      <c r="G3" s="11"/>
      <c r="H3" s="11"/>
      <c r="I3" s="11"/>
      <c r="J3" s="11"/>
      <c r="K3" s="11"/>
    </row>
    <row r="4" spans="2:11" ht="15" customHeight="1" x14ac:dyDescent="0.25">
      <c r="B4" s="317"/>
      <c r="C4" s="317"/>
      <c r="D4" s="317"/>
      <c r="E4" s="317"/>
      <c r="F4" s="317"/>
      <c r="G4" s="11"/>
      <c r="H4" s="11"/>
      <c r="I4" s="11"/>
      <c r="J4" s="11"/>
      <c r="K4" s="11"/>
    </row>
    <row r="5" spans="2:11" ht="15" customHeight="1" x14ac:dyDescent="0.25">
      <c r="B5" s="317"/>
      <c r="C5" s="317"/>
      <c r="D5" s="317"/>
      <c r="E5" s="317"/>
      <c r="F5" s="317"/>
      <c r="G5" s="11"/>
      <c r="H5" s="11"/>
      <c r="I5" s="11"/>
      <c r="J5" s="11"/>
      <c r="K5" s="11"/>
    </row>
    <row r="6" spans="2:11" ht="15.75" x14ac:dyDescent="0.25">
      <c r="B6" s="314" t="s">
        <v>63</v>
      </c>
      <c r="C6" s="314"/>
      <c r="D6" s="314"/>
      <c r="E6" s="314"/>
      <c r="F6" s="314"/>
      <c r="G6" s="11"/>
      <c r="H6" s="11"/>
      <c r="I6" s="11"/>
      <c r="J6" s="11"/>
      <c r="K6" s="11"/>
    </row>
    <row r="8" spans="2:11" x14ac:dyDescent="0.25">
      <c r="B8" s="316" t="str">
        <f>"Sales Forecast of - "&amp;'Data Sheet'!B1</f>
        <v>Sales Forecast of - RELIANCE INDUSTRIES LTD</v>
      </c>
      <c r="C8" s="316"/>
      <c r="D8" s="316"/>
      <c r="E8" s="316"/>
    </row>
    <row r="9" spans="2:11" x14ac:dyDescent="0.25">
      <c r="B9" s="13" t="s">
        <v>154</v>
      </c>
      <c r="C9" s="13" t="s">
        <v>155</v>
      </c>
      <c r="D9" s="13" t="s">
        <v>156</v>
      </c>
      <c r="E9" s="13" t="s">
        <v>10</v>
      </c>
      <c r="F9" s="51"/>
    </row>
    <row r="10" spans="2:11" x14ac:dyDescent="0.25">
      <c r="B10" s="9">
        <v>1</v>
      </c>
      <c r="C10" s="52">
        <v>42460</v>
      </c>
      <c r="D10" s="32">
        <v>272583</v>
      </c>
    </row>
    <row r="11" spans="2:11" x14ac:dyDescent="0.25">
      <c r="B11" s="9">
        <v>2</v>
      </c>
      <c r="C11" s="52">
        <v>42825</v>
      </c>
      <c r="D11" s="32">
        <v>303954</v>
      </c>
      <c r="E11" s="21">
        <f>D11/D10-1</f>
        <v>0.11508788148930793</v>
      </c>
    </row>
    <row r="12" spans="2:11" x14ac:dyDescent="0.25">
      <c r="B12" s="9">
        <v>3</v>
      </c>
      <c r="C12" s="52">
        <v>43190</v>
      </c>
      <c r="D12" s="32">
        <v>390823</v>
      </c>
      <c r="E12" s="21">
        <f t="shared" ref="E12:E24" si="0">D12/D11-1</f>
        <v>0.28579653500200686</v>
      </c>
    </row>
    <row r="13" spans="2:11" x14ac:dyDescent="0.25">
      <c r="B13" s="9">
        <v>4</v>
      </c>
      <c r="C13" s="52">
        <v>43555</v>
      </c>
      <c r="D13" s="32">
        <v>568337</v>
      </c>
      <c r="E13" s="21">
        <f t="shared" si="0"/>
        <v>0.45420561225925793</v>
      </c>
    </row>
    <row r="14" spans="2:11" x14ac:dyDescent="0.25">
      <c r="B14" s="9">
        <v>5</v>
      </c>
      <c r="C14" s="52">
        <v>43921</v>
      </c>
      <c r="D14" s="32">
        <v>596679</v>
      </c>
      <c r="E14" s="21">
        <f t="shared" si="0"/>
        <v>4.9868299969912266E-2</v>
      </c>
    </row>
    <row r="15" spans="2:11" x14ac:dyDescent="0.25">
      <c r="B15" s="9">
        <v>6</v>
      </c>
      <c r="C15" s="52">
        <v>44286</v>
      </c>
      <c r="D15" s="32">
        <v>466307</v>
      </c>
      <c r="E15" s="21">
        <f t="shared" si="0"/>
        <v>-0.21849604226057895</v>
      </c>
    </row>
    <row r="16" spans="2:11" x14ac:dyDescent="0.25">
      <c r="B16" s="9">
        <v>7</v>
      </c>
      <c r="C16" s="52">
        <v>44651</v>
      </c>
      <c r="D16" s="32">
        <v>694673</v>
      </c>
      <c r="E16" s="21">
        <f t="shared" si="0"/>
        <v>0.48973315862725619</v>
      </c>
    </row>
    <row r="17" spans="2:5" x14ac:dyDescent="0.25">
      <c r="B17" s="9">
        <v>8</v>
      </c>
      <c r="C17" s="52">
        <v>45016</v>
      </c>
      <c r="D17" s="32">
        <v>876396</v>
      </c>
      <c r="E17" s="21">
        <f t="shared" si="0"/>
        <v>0.26159502384575184</v>
      </c>
    </row>
    <row r="18" spans="2:5" x14ac:dyDescent="0.25">
      <c r="B18" s="9">
        <v>9</v>
      </c>
      <c r="C18" s="52">
        <v>45382</v>
      </c>
      <c r="D18" s="32">
        <v>899041</v>
      </c>
      <c r="E18" s="21">
        <f t="shared" si="0"/>
        <v>2.5838776078393799E-2</v>
      </c>
    </row>
    <row r="19" spans="2:5" x14ac:dyDescent="0.25">
      <c r="B19" s="9">
        <v>10</v>
      </c>
      <c r="C19" s="52">
        <v>45747</v>
      </c>
      <c r="D19" s="32">
        <v>964693</v>
      </c>
      <c r="E19" s="21">
        <f t="shared" si="0"/>
        <v>7.30244783052163E-2</v>
      </c>
    </row>
    <row r="20" spans="2:5" x14ac:dyDescent="0.25">
      <c r="B20" s="53">
        <v>11</v>
      </c>
      <c r="C20" s="54">
        <v>46112</v>
      </c>
      <c r="D20" s="55">
        <f>FORECAST(B20,$D$10:$D$19,$B$10:$B$19)</f>
        <v>1039051.9333333333</v>
      </c>
      <c r="E20" s="56">
        <f t="shared" si="0"/>
        <v>7.7080411419315098E-2</v>
      </c>
    </row>
    <row r="21" spans="2:5" x14ac:dyDescent="0.25">
      <c r="B21" s="53">
        <v>12</v>
      </c>
      <c r="C21" s="54">
        <v>46477</v>
      </c>
      <c r="D21" s="55">
        <f t="shared" ref="D21:D24" si="1">FORECAST(B21,$D$10:$D$19,$B$10:$B$19)</f>
        <v>1118270.7212121212</v>
      </c>
      <c r="E21" s="56">
        <f t="shared" si="0"/>
        <v>7.6241413289757087E-2</v>
      </c>
    </row>
    <row r="22" spans="2:5" x14ac:dyDescent="0.25">
      <c r="B22" s="53">
        <v>13</v>
      </c>
      <c r="C22" s="54">
        <v>46843</v>
      </c>
      <c r="D22" s="55">
        <f t="shared" si="1"/>
        <v>1197489.509090909</v>
      </c>
      <c r="E22" s="56">
        <f t="shared" si="0"/>
        <v>7.084043816592156E-2</v>
      </c>
    </row>
    <row r="23" spans="2:5" x14ac:dyDescent="0.25">
      <c r="B23" s="53">
        <v>14</v>
      </c>
      <c r="C23" s="54">
        <v>47208</v>
      </c>
      <c r="D23" s="55">
        <f t="shared" si="1"/>
        <v>1276708.2969696969</v>
      </c>
      <c r="E23" s="56">
        <f t="shared" si="0"/>
        <v>6.6154055862191141E-2</v>
      </c>
    </row>
    <row r="24" spans="2:5" x14ac:dyDescent="0.25">
      <c r="B24" s="53">
        <v>15</v>
      </c>
      <c r="C24" s="54">
        <v>47573</v>
      </c>
      <c r="D24" s="55">
        <f t="shared" si="1"/>
        <v>1355927.0848484847</v>
      </c>
      <c r="E24" s="56">
        <f t="shared" si="0"/>
        <v>6.2049246540353709E-2</v>
      </c>
    </row>
    <row r="27" spans="2:5" x14ac:dyDescent="0.25">
      <c r="B27" s="316" t="str">
        <f>"EBITDA Forecast of - "&amp;'Data Sheet'!$B$1</f>
        <v>EBITDA Forecast of - RELIANCE INDUSTRIES LTD</v>
      </c>
      <c r="C27" s="316"/>
      <c r="D27" s="316"/>
      <c r="E27" s="316"/>
    </row>
    <row r="28" spans="2:5" x14ac:dyDescent="0.25">
      <c r="B28" s="13" t="s">
        <v>154</v>
      </c>
      <c r="C28" s="13" t="s">
        <v>155</v>
      </c>
      <c r="D28" s="13" t="s">
        <v>156</v>
      </c>
      <c r="E28" s="13" t="s">
        <v>10</v>
      </c>
    </row>
    <row r="29" spans="2:5" x14ac:dyDescent="0.25">
      <c r="B29" s="9">
        <v>1</v>
      </c>
      <c r="C29" s="52">
        <v>42460</v>
      </c>
      <c r="D29" s="32">
        <v>54308</v>
      </c>
    </row>
    <row r="30" spans="2:5" x14ac:dyDescent="0.25">
      <c r="B30" s="9">
        <v>2</v>
      </c>
      <c r="C30" s="52">
        <v>42825</v>
      </c>
      <c r="D30" s="32">
        <v>44259</v>
      </c>
      <c r="E30" s="21">
        <f>D30/D29-1</f>
        <v>-0.18503719525668405</v>
      </c>
    </row>
    <row r="31" spans="2:5" x14ac:dyDescent="0.25">
      <c r="B31" s="9">
        <v>3</v>
      </c>
      <c r="C31" s="52">
        <v>43190</v>
      </c>
      <c r="D31" s="32">
        <v>56618</v>
      </c>
      <c r="E31" s="21">
        <f t="shared" ref="E31:E43" si="2">D31/D30-1</f>
        <v>0.27924263991504561</v>
      </c>
    </row>
    <row r="32" spans="2:5" x14ac:dyDescent="0.25">
      <c r="B32" s="9">
        <v>4</v>
      </c>
      <c r="C32" s="52">
        <v>43555</v>
      </c>
      <c r="D32" s="32">
        <v>87378</v>
      </c>
      <c r="E32" s="21">
        <f t="shared" si="2"/>
        <v>0.54329011974990293</v>
      </c>
    </row>
    <row r="33" spans="2:5" x14ac:dyDescent="0.25">
      <c r="B33" s="9">
        <v>5</v>
      </c>
      <c r="C33" s="52">
        <v>43921</v>
      </c>
      <c r="D33" s="32">
        <v>93245</v>
      </c>
      <c r="E33" s="21">
        <f t="shared" si="2"/>
        <v>6.7145047952573922E-2</v>
      </c>
    </row>
    <row r="34" spans="2:5" x14ac:dyDescent="0.25">
      <c r="B34" s="9">
        <v>6</v>
      </c>
      <c r="C34" s="52">
        <v>44286</v>
      </c>
      <c r="D34" s="32">
        <v>77479</v>
      </c>
      <c r="E34" s="21">
        <f t="shared" si="2"/>
        <v>-0.16908145208858383</v>
      </c>
    </row>
    <row r="35" spans="2:5" x14ac:dyDescent="0.25">
      <c r="B35" s="9">
        <v>7</v>
      </c>
      <c r="C35" s="52">
        <v>44651</v>
      </c>
      <c r="D35" s="32">
        <v>84425</v>
      </c>
      <c r="E35" s="21">
        <f t="shared" si="2"/>
        <v>8.9650098736431705E-2</v>
      </c>
    </row>
    <row r="36" spans="2:5" x14ac:dyDescent="0.25">
      <c r="B36" s="9">
        <v>8</v>
      </c>
      <c r="C36" s="52">
        <v>45016</v>
      </c>
      <c r="D36" s="32">
        <v>106664</v>
      </c>
      <c r="E36" s="21">
        <f t="shared" si="2"/>
        <v>0.26341723423156638</v>
      </c>
    </row>
    <row r="37" spans="2:5" x14ac:dyDescent="0.25">
      <c r="B37" s="9">
        <v>9</v>
      </c>
      <c r="C37" s="52">
        <v>45382</v>
      </c>
      <c r="D37" s="32">
        <v>178411</v>
      </c>
      <c r="E37" s="21">
        <f t="shared" si="2"/>
        <v>0.67264494112352802</v>
      </c>
    </row>
    <row r="38" spans="2:5" x14ac:dyDescent="0.25">
      <c r="B38" s="9">
        <v>10</v>
      </c>
      <c r="C38" s="52">
        <v>45747</v>
      </c>
      <c r="D38" s="32">
        <v>163755</v>
      </c>
      <c r="E38" s="21">
        <f t="shared" si="2"/>
        <v>-8.2147401225260763E-2</v>
      </c>
    </row>
    <row r="39" spans="2:5" x14ac:dyDescent="0.25">
      <c r="B39" s="53">
        <v>11</v>
      </c>
      <c r="C39" s="54">
        <v>46112</v>
      </c>
      <c r="D39" s="55">
        <f>FORECAST(B39,$D$29:$D$38,$B$29:$B$38)</f>
        <v>166310.59999999998</v>
      </c>
      <c r="E39" s="56">
        <f t="shared" si="2"/>
        <v>1.5606241030807988E-2</v>
      </c>
    </row>
    <row r="40" spans="2:5" x14ac:dyDescent="0.25">
      <c r="B40" s="53">
        <v>12</v>
      </c>
      <c r="C40" s="54">
        <v>46477</v>
      </c>
      <c r="D40" s="55">
        <f t="shared" ref="D40:D43" si="3">FORECAST(B40,$D$29:$D$38,$B$29:$B$38)</f>
        <v>179339.03636363638</v>
      </c>
      <c r="E40" s="56">
        <f t="shared" si="2"/>
        <v>7.8337979441096328E-2</v>
      </c>
    </row>
    <row r="41" spans="2:5" x14ac:dyDescent="0.25">
      <c r="B41" s="53">
        <v>13</v>
      </c>
      <c r="C41" s="54">
        <v>46843</v>
      </c>
      <c r="D41" s="55">
        <f t="shared" si="3"/>
        <v>192367.47272727272</v>
      </c>
      <c r="E41" s="56">
        <f t="shared" si="2"/>
        <v>7.2646963136454357E-2</v>
      </c>
    </row>
    <row r="42" spans="2:5" x14ac:dyDescent="0.25">
      <c r="B42" s="53">
        <v>14</v>
      </c>
      <c r="C42" s="54">
        <v>47208</v>
      </c>
      <c r="D42" s="55">
        <f t="shared" si="3"/>
        <v>205395.90909090906</v>
      </c>
      <c r="E42" s="56">
        <f t="shared" si="2"/>
        <v>6.7726815656133699E-2</v>
      </c>
    </row>
    <row r="43" spans="2:5" x14ac:dyDescent="0.25">
      <c r="B43" s="53">
        <v>15</v>
      </c>
      <c r="C43" s="54">
        <v>47573</v>
      </c>
      <c r="D43" s="55">
        <f t="shared" si="3"/>
        <v>218424.34545454546</v>
      </c>
      <c r="E43" s="56">
        <f t="shared" si="2"/>
        <v>6.3430846414131548E-2</v>
      </c>
    </row>
    <row r="46" spans="2:5" x14ac:dyDescent="0.25">
      <c r="B46" s="316" t="str">
        <f>"EPS Forecast of - "&amp;'Data Sheet'!$B$1</f>
        <v>EPS Forecast of - RELIANCE INDUSTRIES LTD</v>
      </c>
      <c r="C46" s="316"/>
      <c r="D46" s="316"/>
      <c r="E46" s="316"/>
    </row>
    <row r="47" spans="2:5" x14ac:dyDescent="0.25">
      <c r="B47" s="13" t="s">
        <v>154</v>
      </c>
      <c r="C47" s="13" t="s">
        <v>155</v>
      </c>
      <c r="D47" s="13" t="s">
        <v>156</v>
      </c>
      <c r="E47" s="13" t="s">
        <v>10</v>
      </c>
    </row>
    <row r="48" spans="2:5" x14ac:dyDescent="0.25">
      <c r="B48" s="9">
        <v>1</v>
      </c>
      <c r="C48" s="52">
        <v>42460</v>
      </c>
      <c r="D48" s="32">
        <v>21.825861794615864</v>
      </c>
    </row>
    <row r="49" spans="2:5" x14ac:dyDescent="0.25">
      <c r="B49" s="9">
        <v>2</v>
      </c>
      <c r="C49" s="52">
        <v>42825</v>
      </c>
      <c r="D49" s="32">
        <v>13.381439137267341</v>
      </c>
      <c r="E49" s="21">
        <f>D49/D48-1</f>
        <v>-0.38689985013245365</v>
      </c>
    </row>
    <row r="50" spans="2:5" x14ac:dyDescent="0.25">
      <c r="B50" s="9">
        <v>3</v>
      </c>
      <c r="C50" s="52">
        <v>43190</v>
      </c>
      <c r="D50" s="32">
        <v>13.699968180910025</v>
      </c>
      <c r="E50" s="21">
        <f t="shared" ref="E50:E62" si="4">D50/D49-1</f>
        <v>2.3803795718472465E-2</v>
      </c>
    </row>
    <row r="51" spans="2:5" x14ac:dyDescent="0.25">
      <c r="B51" s="9">
        <v>4</v>
      </c>
      <c r="C51" s="52">
        <v>43555</v>
      </c>
      <c r="D51" s="32">
        <v>25.556475825654829</v>
      </c>
      <c r="E51" s="21">
        <f t="shared" si="4"/>
        <v>0.86544052425362872</v>
      </c>
    </row>
    <row r="52" spans="2:5" x14ac:dyDescent="0.25">
      <c r="B52" s="9">
        <v>5</v>
      </c>
      <c r="C52" s="52">
        <v>43921</v>
      </c>
      <c r="D52" s="32">
        <v>26.094190199427672</v>
      </c>
      <c r="E52" s="21">
        <f t="shared" si="4"/>
        <v>2.1040239563588692E-2</v>
      </c>
    </row>
    <row r="53" spans="2:5" x14ac:dyDescent="0.25">
      <c r="B53" s="9">
        <v>6</v>
      </c>
      <c r="C53" s="52">
        <v>44286</v>
      </c>
      <c r="D53" s="32">
        <v>22.080779878380614</v>
      </c>
      <c r="E53" s="21">
        <f t="shared" si="4"/>
        <v>-0.1538047469714191</v>
      </c>
    </row>
    <row r="54" spans="2:5" x14ac:dyDescent="0.25">
      <c r="B54" s="9">
        <v>7</v>
      </c>
      <c r="C54" s="52">
        <v>44651</v>
      </c>
      <c r="D54" s="32">
        <v>17.804402134547445</v>
      </c>
      <c r="E54" s="21">
        <f t="shared" si="4"/>
        <v>-0.19366968772784099</v>
      </c>
    </row>
    <row r="55" spans="2:5" x14ac:dyDescent="0.25">
      <c r="B55" s="9">
        <v>8</v>
      </c>
      <c r="C55" s="52">
        <v>45016</v>
      </c>
      <c r="D55" s="32">
        <v>19.520811162350718</v>
      </c>
      <c r="E55" s="21">
        <f t="shared" si="4"/>
        <v>9.6403631800293654E-2</v>
      </c>
    </row>
    <row r="56" spans="2:5" x14ac:dyDescent="0.25">
      <c r="B56" s="9">
        <v>9</v>
      </c>
      <c r="C56" s="52">
        <v>45382</v>
      </c>
      <c r="D56" s="32">
        <v>58.200925255332038</v>
      </c>
      <c r="E56" s="21">
        <f t="shared" si="4"/>
        <v>1.9814808806502189</v>
      </c>
    </row>
    <row r="57" spans="2:5" x14ac:dyDescent="0.25">
      <c r="B57" s="9">
        <v>10</v>
      </c>
      <c r="C57" s="52">
        <v>45747</v>
      </c>
      <c r="D57" s="32">
        <v>45.165676450592649</v>
      </c>
      <c r="E57" s="21">
        <f t="shared" si="4"/>
        <v>-0.22396978652062194</v>
      </c>
    </row>
    <row r="58" spans="2:5" x14ac:dyDescent="0.25">
      <c r="B58" s="53">
        <v>11</v>
      </c>
      <c r="C58" s="54">
        <v>46112</v>
      </c>
      <c r="D58" s="55">
        <f>FORECAST(B58,$D$48:$D$57,$B$48:$B$57)</f>
        <v>43.854030276677193</v>
      </c>
      <c r="E58" s="56">
        <f t="shared" si="4"/>
        <v>-2.9040773370244577E-2</v>
      </c>
    </row>
    <row r="59" spans="2:5" x14ac:dyDescent="0.25">
      <c r="B59" s="53">
        <v>12</v>
      </c>
      <c r="C59" s="54">
        <v>46477</v>
      </c>
      <c r="D59" s="55">
        <f t="shared" ref="D59:D62" si="5">FORECAST(B59,$D$48:$D$57,$B$48:$B$57)</f>
        <v>47.039662508453418</v>
      </c>
      <c r="E59" s="56">
        <f t="shared" si="4"/>
        <v>7.2641720992983272E-2</v>
      </c>
    </row>
    <row r="60" spans="2:5" x14ac:dyDescent="0.25">
      <c r="B60" s="53">
        <v>13</v>
      </c>
      <c r="C60" s="54">
        <v>46843</v>
      </c>
      <c r="D60" s="55">
        <f t="shared" si="5"/>
        <v>50.22529474022965</v>
      </c>
      <c r="E60" s="56">
        <f t="shared" si="4"/>
        <v>6.7722259512464467E-2</v>
      </c>
    </row>
    <row r="61" spans="2:5" x14ac:dyDescent="0.25">
      <c r="B61" s="53">
        <v>14</v>
      </c>
      <c r="C61" s="54">
        <v>47208</v>
      </c>
      <c r="D61" s="55">
        <f t="shared" si="5"/>
        <v>53.410926972005882</v>
      </c>
      <c r="E61" s="56">
        <f t="shared" si="4"/>
        <v>6.3426849921989437E-2</v>
      </c>
    </row>
    <row r="62" spans="2:5" x14ac:dyDescent="0.25">
      <c r="B62" s="53">
        <v>15</v>
      </c>
      <c r="C62" s="54">
        <v>47573</v>
      </c>
      <c r="D62" s="55">
        <f t="shared" si="5"/>
        <v>56.596559203782114</v>
      </c>
      <c r="E62" s="56">
        <f t="shared" si="4"/>
        <v>5.9643829687620054E-2</v>
      </c>
    </row>
    <row r="66" spans="2:11" x14ac:dyDescent="0.25">
      <c r="B66" s="11"/>
      <c r="C66" s="11"/>
      <c r="D66" s="11"/>
      <c r="E66" s="11"/>
      <c r="F66" s="11"/>
      <c r="G66" s="11"/>
      <c r="H66" s="11"/>
      <c r="I66" s="11"/>
      <c r="J66" s="11"/>
      <c r="K66" s="11"/>
    </row>
    <row r="71" spans="2:11" x14ac:dyDescent="0.25">
      <c r="B71" s="272" t="s">
        <v>731</v>
      </c>
      <c r="K71" s="273" t="s">
        <v>734</v>
      </c>
    </row>
    <row r="72" spans="2:11" x14ac:dyDescent="0.25">
      <c r="B72" s="272" t="s">
        <v>733</v>
      </c>
      <c r="K72" s="273" t="s">
        <v>735</v>
      </c>
    </row>
  </sheetData>
  <mergeCells count="5">
    <mergeCell ref="B6:F6"/>
    <mergeCell ref="B8:E8"/>
    <mergeCell ref="B27:E27"/>
    <mergeCell ref="B46:E46"/>
    <mergeCell ref="B1:F5"/>
  </mergeCells>
  <pageMargins left="0.25" right="0.25" top="0.75" bottom="0.75" header="0.3" footer="0.3"/>
  <pageSetup scale="64" orientation="portrait" r:id="rId1"/>
  <rowBreaks count="1" manualBreakCount="1">
    <brk id="73" max="1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8FD70-3FC2-4817-BA61-F195E6E50D05}">
  <sheetPr>
    <pageSetUpPr fitToPage="1"/>
  </sheetPr>
  <dimension ref="A1:K274"/>
  <sheetViews>
    <sheetView showGridLines="0" view="pageBreakPreview" zoomScale="60" zoomScaleNormal="80" workbookViewId="0">
      <selection activeCell="I29" sqref="I29"/>
    </sheetView>
  </sheetViews>
  <sheetFormatPr defaultRowHeight="15" x14ac:dyDescent="0.25"/>
  <cols>
    <col min="1" max="1" width="5.85546875" customWidth="1"/>
    <col min="2" max="2" width="12.5703125" customWidth="1"/>
    <col min="3" max="3" width="9.28515625" bestFit="1" customWidth="1"/>
    <col min="4" max="4" width="18.28515625" customWidth="1"/>
    <col min="6" max="6" width="11.5703125" bestFit="1" customWidth="1"/>
    <col min="7" max="7" width="16.140625" customWidth="1"/>
    <col min="9" max="9" width="16.85546875" bestFit="1" customWidth="1"/>
    <col min="11" max="11" width="0.5703125" customWidth="1"/>
  </cols>
  <sheetData>
    <row r="1" spans="2:11" x14ac:dyDescent="0.25">
      <c r="B1" s="315" t="str">
        <f>'Data Sheet'!B1</f>
        <v>RELIANCE INDUSTRIES LTD</v>
      </c>
      <c r="C1" s="315"/>
      <c r="D1" s="315"/>
      <c r="E1" s="315"/>
      <c r="F1" s="315"/>
      <c r="G1" s="11"/>
      <c r="H1" s="11"/>
      <c r="I1" s="11"/>
      <c r="J1" s="11"/>
      <c r="K1" s="11"/>
    </row>
    <row r="2" spans="2:11" x14ac:dyDescent="0.25">
      <c r="B2" s="315"/>
      <c r="C2" s="315"/>
      <c r="D2" s="315"/>
      <c r="E2" s="315"/>
      <c r="F2" s="315"/>
      <c r="G2" s="11"/>
      <c r="H2" s="11"/>
      <c r="I2" s="11"/>
      <c r="J2" s="11"/>
      <c r="K2" s="11"/>
    </row>
    <row r="3" spans="2:11" x14ac:dyDescent="0.25">
      <c r="B3" s="315"/>
      <c r="C3" s="315"/>
      <c r="D3" s="315"/>
      <c r="E3" s="315"/>
      <c r="F3" s="315"/>
      <c r="G3" s="11"/>
      <c r="H3" s="11"/>
      <c r="I3" s="11"/>
      <c r="J3" s="11"/>
      <c r="K3" s="11"/>
    </row>
    <row r="4" spans="2:11" ht="15" customHeight="1" x14ac:dyDescent="0.25">
      <c r="B4" s="315"/>
      <c r="C4" s="315"/>
      <c r="D4" s="315"/>
      <c r="E4" s="315"/>
      <c r="F4" s="315"/>
      <c r="G4" s="11"/>
      <c r="H4" s="11"/>
      <c r="I4" s="11"/>
      <c r="J4" s="11"/>
      <c r="K4" s="11"/>
    </row>
    <row r="5" spans="2:11" ht="15" customHeight="1" x14ac:dyDescent="0.25">
      <c r="B5" s="315"/>
      <c r="C5" s="315"/>
      <c r="D5" s="315"/>
      <c r="E5" s="315"/>
      <c r="F5" s="315"/>
      <c r="G5" s="11"/>
      <c r="H5" s="11"/>
      <c r="I5" s="11"/>
      <c r="J5" s="11"/>
      <c r="K5" s="11"/>
    </row>
    <row r="6" spans="2:11" ht="15.75" x14ac:dyDescent="0.25">
      <c r="B6" s="314" t="s">
        <v>63</v>
      </c>
      <c r="C6" s="314"/>
      <c r="D6" s="314"/>
      <c r="E6" s="314"/>
      <c r="F6" s="314"/>
      <c r="G6" s="11"/>
      <c r="H6" s="11"/>
      <c r="I6" s="11"/>
      <c r="J6" s="11"/>
      <c r="K6" s="11"/>
    </row>
    <row r="9" spans="2:11" x14ac:dyDescent="0.25">
      <c r="B9" s="319" t="s">
        <v>160</v>
      </c>
      <c r="C9" s="319"/>
      <c r="D9" s="319"/>
    </row>
    <row r="10" spans="2:11" x14ac:dyDescent="0.25">
      <c r="B10" s="319"/>
      <c r="C10" s="319"/>
      <c r="D10" s="319"/>
    </row>
    <row r="11" spans="2:11" x14ac:dyDescent="0.25">
      <c r="B11" s="318" t="str">
        <f>'Data Sheet'!B1&amp;" Weekly Report"</f>
        <v>RELIANCE INDUSTRIES LTD Weekly Report</v>
      </c>
      <c r="C11" s="318"/>
      <c r="D11" s="318"/>
      <c r="F11" s="318" t="s">
        <v>161</v>
      </c>
      <c r="G11" s="318"/>
      <c r="I11" s="318" t="s">
        <v>162</v>
      </c>
      <c r="J11" s="318"/>
      <c r="K11" s="318"/>
    </row>
    <row r="12" spans="2:11" ht="15.75" x14ac:dyDescent="0.25">
      <c r="B12" s="60"/>
      <c r="C12" s="60"/>
      <c r="D12" s="60"/>
    </row>
    <row r="13" spans="2:11" ht="15.75" thickBot="1" x14ac:dyDescent="0.3">
      <c r="B13" s="61" t="s">
        <v>157</v>
      </c>
      <c r="C13" s="62" t="s">
        <v>158</v>
      </c>
      <c r="D13" s="62" t="s">
        <v>159</v>
      </c>
      <c r="F13" s="62" t="s">
        <v>158</v>
      </c>
      <c r="G13" s="62" t="s">
        <v>159</v>
      </c>
      <c r="I13" s="2" t="s">
        <v>163</v>
      </c>
      <c r="K13" s="50">
        <f>SLOPE(D15:D274,G15:G274)</f>
        <v>0.98417739677826488</v>
      </c>
    </row>
    <row r="14" spans="2:11" x14ac:dyDescent="0.25">
      <c r="B14" s="59">
        <v>45872</v>
      </c>
      <c r="C14" s="32">
        <v>1389.4</v>
      </c>
      <c r="F14" s="32">
        <v>24596.15</v>
      </c>
      <c r="I14" s="2" t="s">
        <v>164</v>
      </c>
      <c r="K14" s="63">
        <v>0.75</v>
      </c>
    </row>
    <row r="15" spans="2:11" x14ac:dyDescent="0.25">
      <c r="B15" s="59">
        <v>45865</v>
      </c>
      <c r="C15" s="32">
        <v>1393.7</v>
      </c>
      <c r="D15" s="21">
        <f>C15/C14-1</f>
        <v>3.0948610911183394E-3</v>
      </c>
      <c r="F15" s="32">
        <v>24565.35</v>
      </c>
      <c r="G15" s="21">
        <f>F15/F14-1</f>
        <v>-1.2522284991758337E-3</v>
      </c>
      <c r="I15" s="2"/>
    </row>
    <row r="16" spans="2:11" x14ac:dyDescent="0.25">
      <c r="B16" s="59">
        <v>45858</v>
      </c>
      <c r="C16" s="32">
        <v>1391.7</v>
      </c>
      <c r="D16" s="21">
        <f t="shared" ref="D16:D79" si="0">C16/C15-1</f>
        <v>-1.4350290593384551E-3</v>
      </c>
      <c r="F16" s="32">
        <v>24837</v>
      </c>
      <c r="G16" s="21">
        <f t="shared" ref="G16:G79" si="1">F16/F15-1</f>
        <v>1.1058258889045103E-2</v>
      </c>
      <c r="I16" s="2" t="s">
        <v>165</v>
      </c>
      <c r="K16" s="50">
        <v>1</v>
      </c>
    </row>
    <row r="17" spans="2:11" x14ac:dyDescent="0.25">
      <c r="B17" s="59">
        <v>45851</v>
      </c>
      <c r="C17" s="32">
        <v>1476</v>
      </c>
      <c r="D17" s="21">
        <f t="shared" si="0"/>
        <v>6.0573399439534326E-2</v>
      </c>
      <c r="F17" s="32">
        <v>24968.400000000001</v>
      </c>
      <c r="G17" s="21">
        <f t="shared" si="1"/>
        <v>5.2904940210170004E-3</v>
      </c>
      <c r="I17" s="2" t="s">
        <v>166</v>
      </c>
      <c r="K17" s="63">
        <v>0.25</v>
      </c>
    </row>
    <row r="18" spans="2:11" x14ac:dyDescent="0.25">
      <c r="B18" s="59">
        <v>45844</v>
      </c>
      <c r="C18" s="32">
        <v>1495.2</v>
      </c>
      <c r="D18" s="21">
        <f t="shared" si="0"/>
        <v>1.3008130081300751E-2</v>
      </c>
      <c r="F18" s="32">
        <v>25149.85</v>
      </c>
      <c r="G18" s="21">
        <f t="shared" si="1"/>
        <v>7.267185722753533E-3</v>
      </c>
    </row>
    <row r="19" spans="2:11" x14ac:dyDescent="0.25">
      <c r="B19" s="59">
        <v>45837</v>
      </c>
      <c r="C19" s="32">
        <v>1527.3</v>
      </c>
      <c r="D19" s="21">
        <f t="shared" si="0"/>
        <v>2.1468699839486405E-2</v>
      </c>
      <c r="F19" s="32">
        <v>25461</v>
      </c>
      <c r="G19" s="21">
        <f t="shared" si="1"/>
        <v>1.2371843172026997E-2</v>
      </c>
      <c r="I19" s="64" t="s">
        <v>167</v>
      </c>
      <c r="J19" s="65"/>
      <c r="K19" s="66">
        <f>(K13*K14)+(K16*K17)</f>
        <v>0.98813304758369869</v>
      </c>
    </row>
    <row r="20" spans="2:11" x14ac:dyDescent="0.25">
      <c r="B20" s="59">
        <v>45830</v>
      </c>
      <c r="C20" s="32">
        <v>1515.4</v>
      </c>
      <c r="D20" s="21">
        <f t="shared" si="0"/>
        <v>-7.7915275322463229E-3</v>
      </c>
      <c r="F20" s="32">
        <v>25637.8</v>
      </c>
      <c r="G20" s="21">
        <f t="shared" si="1"/>
        <v>6.9439534975059836E-3</v>
      </c>
    </row>
    <row r="21" spans="2:11" x14ac:dyDescent="0.25">
      <c r="B21" s="59">
        <v>45823</v>
      </c>
      <c r="C21" s="32">
        <v>1466.2</v>
      </c>
      <c r="D21" s="21">
        <f t="shared" si="0"/>
        <v>-3.2466675465223749E-2</v>
      </c>
      <c r="F21" s="32">
        <v>25112.400000000001</v>
      </c>
      <c r="G21" s="21">
        <f t="shared" si="1"/>
        <v>-2.0493178041797622E-2</v>
      </c>
    </row>
    <row r="22" spans="2:11" x14ac:dyDescent="0.25">
      <c r="B22" s="59">
        <v>45816</v>
      </c>
      <c r="C22" s="32">
        <v>1427.9</v>
      </c>
      <c r="D22" s="21">
        <f t="shared" si="0"/>
        <v>-2.612194789251121E-2</v>
      </c>
      <c r="F22" s="32">
        <v>24718.6</v>
      </c>
      <c r="G22" s="21">
        <f t="shared" si="1"/>
        <v>-1.568149599401103E-2</v>
      </c>
    </row>
    <row r="23" spans="2:11" x14ac:dyDescent="0.25">
      <c r="B23" s="59">
        <v>45809</v>
      </c>
      <c r="C23" s="32">
        <v>1443.5</v>
      </c>
      <c r="D23" s="21">
        <f t="shared" si="0"/>
        <v>1.0925134813362325E-2</v>
      </c>
      <c r="F23" s="32">
        <v>25003.05</v>
      </c>
      <c r="G23" s="21">
        <f t="shared" si="1"/>
        <v>1.1507528743537332E-2</v>
      </c>
    </row>
    <row r="24" spans="2:11" x14ac:dyDescent="0.25">
      <c r="B24" s="59">
        <v>45802</v>
      </c>
      <c r="C24" s="32">
        <v>1420.9</v>
      </c>
      <c r="D24" s="21">
        <f t="shared" si="0"/>
        <v>-1.5656390717007196E-2</v>
      </c>
      <c r="F24" s="32">
        <v>24750.7</v>
      </c>
      <c r="G24" s="21">
        <f t="shared" si="1"/>
        <v>-1.0092768682220754E-2</v>
      </c>
    </row>
    <row r="25" spans="2:11" x14ac:dyDescent="0.25">
      <c r="B25" s="59">
        <v>45795</v>
      </c>
      <c r="C25" s="32">
        <v>1426.8</v>
      </c>
      <c r="D25" s="21">
        <f t="shared" si="0"/>
        <v>4.1522978393975229E-3</v>
      </c>
      <c r="F25" s="32">
        <v>24853.15</v>
      </c>
      <c r="G25" s="21">
        <f t="shared" si="1"/>
        <v>4.139276868937003E-3</v>
      </c>
    </row>
    <row r="26" spans="2:11" x14ac:dyDescent="0.25">
      <c r="B26" s="59">
        <v>45788</v>
      </c>
      <c r="C26" s="32">
        <v>1456.4</v>
      </c>
      <c r="D26" s="21">
        <f t="shared" si="0"/>
        <v>2.0745724698626455E-2</v>
      </c>
      <c r="F26" s="32">
        <v>25019.8</v>
      </c>
      <c r="G26" s="21">
        <f t="shared" si="1"/>
        <v>6.705387445856914E-3</v>
      </c>
    </row>
    <row r="27" spans="2:11" x14ac:dyDescent="0.25">
      <c r="B27" s="59">
        <v>45781</v>
      </c>
      <c r="C27" s="32">
        <v>1377.2</v>
      </c>
      <c r="D27" s="21">
        <f t="shared" si="0"/>
        <v>-5.4380664652567967E-2</v>
      </c>
      <c r="F27" s="32">
        <v>24008</v>
      </c>
      <c r="G27" s="21">
        <f t="shared" si="1"/>
        <v>-4.0439971542538311E-2</v>
      </c>
    </row>
    <row r="28" spans="2:11" x14ac:dyDescent="0.25">
      <c r="B28" s="59">
        <v>45774</v>
      </c>
      <c r="C28" s="32">
        <v>1422.4</v>
      </c>
      <c r="D28" s="21">
        <f t="shared" si="0"/>
        <v>3.282021492884124E-2</v>
      </c>
      <c r="F28" s="32">
        <v>24346.7</v>
      </c>
      <c r="G28" s="21">
        <f t="shared" si="1"/>
        <v>1.4107797400866318E-2</v>
      </c>
    </row>
    <row r="29" spans="2:11" x14ac:dyDescent="0.25">
      <c r="B29" s="59">
        <v>45767</v>
      </c>
      <c r="C29" s="32">
        <v>1300.4000000000001</v>
      </c>
      <c r="D29" s="21">
        <f t="shared" si="0"/>
        <v>-8.5770528683914549E-2</v>
      </c>
      <c r="F29" s="32">
        <v>24039.35</v>
      </c>
      <c r="G29" s="21">
        <f t="shared" si="1"/>
        <v>-1.2623887426222113E-2</v>
      </c>
    </row>
    <row r="30" spans="2:11" x14ac:dyDescent="0.25">
      <c r="B30" s="59">
        <v>45760</v>
      </c>
      <c r="C30" s="32">
        <v>1274.5</v>
      </c>
      <c r="D30" s="21">
        <f t="shared" si="0"/>
        <v>-1.9916948631190423E-2</v>
      </c>
      <c r="F30" s="32">
        <v>23851.65</v>
      </c>
      <c r="G30" s="21">
        <f t="shared" si="1"/>
        <v>-7.8080314151587338E-3</v>
      </c>
    </row>
    <row r="31" spans="2:11" x14ac:dyDescent="0.25">
      <c r="B31" s="59">
        <v>45753</v>
      </c>
      <c r="C31" s="32">
        <v>1218.95</v>
      </c>
      <c r="D31" s="21">
        <f t="shared" si="0"/>
        <v>-4.3585719890152919E-2</v>
      </c>
      <c r="F31" s="32">
        <v>22828.55</v>
      </c>
      <c r="G31" s="21">
        <f t="shared" si="1"/>
        <v>-4.2894307102443685E-2</v>
      </c>
    </row>
    <row r="32" spans="2:11" x14ac:dyDescent="0.25">
      <c r="B32" s="59">
        <v>45746</v>
      </c>
      <c r="C32" s="32">
        <v>1204.7</v>
      </c>
      <c r="D32" s="21">
        <f t="shared" si="0"/>
        <v>-1.1690389269453205E-2</v>
      </c>
      <c r="F32" s="32">
        <v>22904.45</v>
      </c>
      <c r="G32" s="21">
        <f t="shared" si="1"/>
        <v>3.3247840971064591E-3</v>
      </c>
    </row>
    <row r="33" spans="2:11" x14ac:dyDescent="0.25">
      <c r="B33" s="59">
        <v>45739</v>
      </c>
      <c r="C33" s="32">
        <v>1275.0999999999999</v>
      </c>
      <c r="D33" s="21">
        <f t="shared" si="0"/>
        <v>5.8437785340748727E-2</v>
      </c>
      <c r="F33" s="32">
        <v>23519.35</v>
      </c>
      <c r="G33" s="21">
        <f t="shared" si="1"/>
        <v>2.6846311524616251E-2</v>
      </c>
    </row>
    <row r="34" spans="2:11" x14ac:dyDescent="0.25">
      <c r="B34" s="59">
        <v>45732</v>
      </c>
      <c r="C34" s="32">
        <v>1276.3499999999999</v>
      </c>
      <c r="D34" s="21">
        <f t="shared" si="0"/>
        <v>9.8031526939057478E-4</v>
      </c>
      <c r="F34" s="32">
        <v>23350.400000000001</v>
      </c>
      <c r="G34" s="21">
        <f t="shared" si="1"/>
        <v>-7.1834468214468927E-3</v>
      </c>
    </row>
    <row r="35" spans="2:11" x14ac:dyDescent="0.25">
      <c r="B35" s="59">
        <v>45725</v>
      </c>
      <c r="C35" s="32">
        <v>1247.9000000000001</v>
      </c>
      <c r="D35" s="21">
        <f t="shared" si="0"/>
        <v>-2.2290124182238302E-2</v>
      </c>
      <c r="F35" s="32">
        <v>22397.200000000001</v>
      </c>
      <c r="G35" s="21">
        <f t="shared" si="1"/>
        <v>-4.0821570508428162E-2</v>
      </c>
    </row>
    <row r="36" spans="2:11" x14ac:dyDescent="0.25">
      <c r="B36" s="59">
        <v>45718</v>
      </c>
      <c r="C36" s="32">
        <v>1249.8</v>
      </c>
      <c r="D36" s="21">
        <f t="shared" si="0"/>
        <v>1.522557897267296E-3</v>
      </c>
      <c r="F36" s="32">
        <v>22552.5</v>
      </c>
      <c r="G36" s="21">
        <f t="shared" si="1"/>
        <v>6.9339024520922443E-3</v>
      </c>
    </row>
    <row r="37" spans="2:11" x14ac:dyDescent="0.25">
      <c r="B37" s="59">
        <v>45711</v>
      </c>
      <c r="C37" s="32">
        <v>1200.0999999999999</v>
      </c>
      <c r="D37" s="21">
        <f t="shared" si="0"/>
        <v>-3.9766362618018913E-2</v>
      </c>
      <c r="F37" s="32">
        <v>22124.7</v>
      </c>
      <c r="G37" s="21">
        <f t="shared" si="1"/>
        <v>-1.8969072164948475E-2</v>
      </c>
    </row>
    <row r="38" spans="2:11" x14ac:dyDescent="0.25">
      <c r="B38" s="59">
        <v>45704</v>
      </c>
      <c r="C38" s="32">
        <v>1228.1500000000001</v>
      </c>
      <c r="D38" s="21">
        <f t="shared" si="0"/>
        <v>2.3373052245646342E-2</v>
      </c>
      <c r="F38" s="32">
        <v>22795.9</v>
      </c>
      <c r="G38" s="21">
        <f t="shared" si="1"/>
        <v>3.0337134514818231E-2</v>
      </c>
    </row>
    <row r="39" spans="2:11" x14ac:dyDescent="0.25">
      <c r="B39" s="59">
        <v>45697</v>
      </c>
      <c r="C39" s="32">
        <v>1217.25</v>
      </c>
      <c r="D39" s="21">
        <f t="shared" si="0"/>
        <v>-8.8751374017832507E-3</v>
      </c>
      <c r="F39" s="32">
        <v>22929.25</v>
      </c>
      <c r="G39" s="21">
        <f t="shared" si="1"/>
        <v>5.8497361367613188E-3</v>
      </c>
    </row>
    <row r="40" spans="2:11" x14ac:dyDescent="0.25">
      <c r="B40" s="59">
        <v>45690</v>
      </c>
      <c r="C40" s="32">
        <v>1266.7</v>
      </c>
      <c r="D40" s="21">
        <f t="shared" si="0"/>
        <v>4.0624358184432108E-2</v>
      </c>
      <c r="F40" s="32">
        <v>23559.95</v>
      </c>
      <c r="G40" s="21">
        <f t="shared" si="1"/>
        <v>2.7506351058146361E-2</v>
      </c>
    </row>
    <row r="41" spans="2:11" x14ac:dyDescent="0.25">
      <c r="B41" s="59">
        <v>45683</v>
      </c>
      <c r="C41" s="32">
        <v>1265.0999999999999</v>
      </c>
      <c r="D41" s="21">
        <f t="shared" si="0"/>
        <v>-1.2631246546144226E-3</v>
      </c>
      <c r="F41" s="32">
        <v>23508.400000000001</v>
      </c>
      <c r="G41" s="21">
        <f t="shared" si="1"/>
        <v>-2.188035203809835E-3</v>
      </c>
    </row>
    <row r="42" spans="2:11" x14ac:dyDescent="0.25">
      <c r="B42" s="59">
        <v>45676</v>
      </c>
      <c r="C42" s="32">
        <v>1246.3</v>
      </c>
      <c r="D42" s="21">
        <f t="shared" si="0"/>
        <v>-1.4860485337127471E-2</v>
      </c>
      <c r="F42" s="32">
        <v>23092.2</v>
      </c>
      <c r="G42" s="21">
        <f t="shared" si="1"/>
        <v>-1.7704309948784247E-2</v>
      </c>
    </row>
    <row r="43" spans="2:11" x14ac:dyDescent="0.25">
      <c r="B43" s="59">
        <v>45669</v>
      </c>
      <c r="C43" s="32">
        <v>1302.3499999999999</v>
      </c>
      <c r="D43" s="21">
        <f t="shared" si="0"/>
        <v>4.4973120436492042E-2</v>
      </c>
      <c r="F43" s="32">
        <v>23203.200000000001</v>
      </c>
      <c r="G43" s="21">
        <f t="shared" si="1"/>
        <v>4.8068178865590117E-3</v>
      </c>
    </row>
    <row r="44" spans="2:11" x14ac:dyDescent="0.25">
      <c r="B44" s="59">
        <v>45662</v>
      </c>
      <c r="C44" s="32">
        <v>1241.9000000000001</v>
      </c>
      <c r="D44" s="21">
        <f t="shared" si="0"/>
        <v>-4.6416093983951967E-2</v>
      </c>
      <c r="F44" s="32">
        <v>23431.5</v>
      </c>
      <c r="G44" s="21">
        <f t="shared" si="1"/>
        <v>9.8391601158460684E-3</v>
      </c>
    </row>
    <row r="45" spans="2:11" x14ac:dyDescent="0.25">
      <c r="B45" s="59">
        <v>45655</v>
      </c>
      <c r="C45" s="32">
        <v>1251.1500000000001</v>
      </c>
      <c r="D45" s="21">
        <f t="shared" si="0"/>
        <v>7.4482647556164405E-3</v>
      </c>
      <c r="F45" s="32">
        <v>24004.75</v>
      </c>
      <c r="G45" s="21">
        <f t="shared" si="1"/>
        <v>2.4464929688666981E-2</v>
      </c>
      <c r="I45" s="272"/>
      <c r="K45" s="273"/>
    </row>
    <row r="46" spans="2:11" x14ac:dyDescent="0.25">
      <c r="B46" s="59">
        <v>45648</v>
      </c>
      <c r="C46" s="32">
        <v>1221.05</v>
      </c>
      <c r="D46" s="21">
        <f t="shared" si="0"/>
        <v>-2.4057866762578484E-2</v>
      </c>
      <c r="F46" s="32">
        <v>23813.4</v>
      </c>
      <c r="G46" s="21">
        <f t="shared" si="1"/>
        <v>-7.9713390058216982E-3</v>
      </c>
      <c r="I46" s="272"/>
      <c r="K46" s="273"/>
    </row>
    <row r="47" spans="2:11" x14ac:dyDescent="0.25">
      <c r="B47" s="59">
        <v>45641</v>
      </c>
      <c r="C47" s="32">
        <v>1205.3</v>
      </c>
      <c r="D47" s="21">
        <f t="shared" si="0"/>
        <v>-1.2898734695548919E-2</v>
      </c>
      <c r="F47" s="32">
        <v>23587.5</v>
      </c>
      <c r="G47" s="21">
        <f t="shared" si="1"/>
        <v>-9.4862556375822082E-3</v>
      </c>
    </row>
    <row r="48" spans="2:11" x14ac:dyDescent="0.25">
      <c r="B48" s="59">
        <v>45634</v>
      </c>
      <c r="C48" s="32">
        <v>1272.8499999999999</v>
      </c>
      <c r="D48" s="21">
        <f t="shared" si="0"/>
        <v>5.604413838878286E-2</v>
      </c>
      <c r="F48" s="32">
        <v>24768.3</v>
      </c>
      <c r="G48" s="21">
        <f t="shared" si="1"/>
        <v>5.0060413354531041E-2</v>
      </c>
    </row>
    <row r="49" spans="2:7" x14ac:dyDescent="0.25">
      <c r="B49" s="59">
        <v>45627</v>
      </c>
      <c r="C49" s="32">
        <v>1311.55</v>
      </c>
      <c r="D49" s="21">
        <f t="shared" si="0"/>
        <v>3.0404211022508676E-2</v>
      </c>
      <c r="F49" s="32">
        <v>24677.8</v>
      </c>
      <c r="G49" s="21">
        <f t="shared" si="1"/>
        <v>-3.653864011660013E-3</v>
      </c>
    </row>
    <row r="50" spans="2:7" x14ac:dyDescent="0.25">
      <c r="B50" s="59">
        <v>45620</v>
      </c>
      <c r="C50" s="32">
        <v>1292.2</v>
      </c>
      <c r="D50" s="21">
        <f t="shared" si="0"/>
        <v>-1.4753535892646052E-2</v>
      </c>
      <c r="F50" s="32">
        <v>24131.1</v>
      </c>
      <c r="G50" s="21">
        <f t="shared" si="1"/>
        <v>-2.2153514494809179E-2</v>
      </c>
    </row>
    <row r="51" spans="2:7" x14ac:dyDescent="0.25">
      <c r="B51" s="59">
        <v>45613</v>
      </c>
      <c r="C51" s="32">
        <v>1265.4000000000001</v>
      </c>
      <c r="D51" s="21">
        <f t="shared" si="0"/>
        <v>-2.0739823556724879E-2</v>
      </c>
      <c r="F51" s="32">
        <v>23907.25</v>
      </c>
      <c r="G51" s="21">
        <f t="shared" si="1"/>
        <v>-9.2764109385812255E-3</v>
      </c>
    </row>
    <row r="52" spans="2:7" x14ac:dyDescent="0.25">
      <c r="B52" s="59">
        <v>45606</v>
      </c>
      <c r="C52" s="32">
        <v>1267.5999999999999</v>
      </c>
      <c r="D52" s="21">
        <f t="shared" si="0"/>
        <v>1.7385806859488984E-3</v>
      </c>
      <c r="F52" s="32">
        <v>23532.7</v>
      </c>
      <c r="G52" s="21">
        <f t="shared" si="1"/>
        <v>-1.5666795637306663E-2</v>
      </c>
    </row>
    <row r="53" spans="2:7" x14ac:dyDescent="0.25">
      <c r="B53" s="59">
        <v>45599</v>
      </c>
      <c r="C53" s="32">
        <v>1283.75</v>
      </c>
      <c r="D53" s="21">
        <f t="shared" si="0"/>
        <v>1.2740612180498712E-2</v>
      </c>
      <c r="F53" s="32">
        <v>24148.2</v>
      </c>
      <c r="G53" s="21">
        <f t="shared" si="1"/>
        <v>2.6155094825498049E-2</v>
      </c>
    </row>
    <row r="54" spans="2:7" x14ac:dyDescent="0.25">
      <c r="B54" s="59">
        <v>45592</v>
      </c>
      <c r="C54" s="32">
        <v>1338.65</v>
      </c>
      <c r="D54" s="21">
        <f t="shared" si="0"/>
        <v>4.2765335929892956E-2</v>
      </c>
      <c r="F54" s="32">
        <v>24304.35</v>
      </c>
      <c r="G54" s="21">
        <f t="shared" si="1"/>
        <v>6.4663204710908584E-3</v>
      </c>
    </row>
    <row r="55" spans="2:7" x14ac:dyDescent="0.25">
      <c r="B55" s="59">
        <v>45585</v>
      </c>
      <c r="C55" s="32">
        <v>1327.85</v>
      </c>
      <c r="D55" s="21">
        <f t="shared" si="0"/>
        <v>-8.06782952975027E-3</v>
      </c>
      <c r="F55" s="32">
        <v>24180.799999999999</v>
      </c>
      <c r="G55" s="21">
        <f t="shared" si="1"/>
        <v>-5.0834521392261189E-3</v>
      </c>
    </row>
    <row r="56" spans="2:7" x14ac:dyDescent="0.25">
      <c r="B56" s="59">
        <v>45578</v>
      </c>
      <c r="C56" s="32">
        <v>1359.3</v>
      </c>
      <c r="D56" s="21">
        <f t="shared" si="0"/>
        <v>2.368490416839264E-2</v>
      </c>
      <c r="F56" s="32">
        <v>24854.05</v>
      </c>
      <c r="G56" s="21">
        <f t="shared" si="1"/>
        <v>2.7842337722490562E-2</v>
      </c>
    </row>
    <row r="57" spans="2:7" x14ac:dyDescent="0.25">
      <c r="B57" s="59">
        <v>45571</v>
      </c>
      <c r="C57" s="32">
        <v>1372.1</v>
      </c>
      <c r="D57" s="21">
        <f t="shared" si="0"/>
        <v>9.4166114912086485E-3</v>
      </c>
      <c r="F57" s="32">
        <v>24964.25</v>
      </c>
      <c r="G57" s="21">
        <f t="shared" si="1"/>
        <v>4.4338850207512603E-3</v>
      </c>
    </row>
    <row r="58" spans="2:7" x14ac:dyDescent="0.25">
      <c r="B58" s="59">
        <v>45564</v>
      </c>
      <c r="C58" s="32">
        <v>1386.53</v>
      </c>
      <c r="D58" s="21">
        <f t="shared" si="0"/>
        <v>1.0516726186138081E-2</v>
      </c>
      <c r="F58" s="32">
        <v>25014.6</v>
      </c>
      <c r="G58" s="21">
        <f t="shared" si="1"/>
        <v>2.0168841443264363E-3</v>
      </c>
    </row>
    <row r="59" spans="2:7" x14ac:dyDescent="0.25">
      <c r="B59" s="59">
        <v>45557</v>
      </c>
      <c r="C59" s="32">
        <v>1526.18</v>
      </c>
      <c r="D59" s="21">
        <f t="shared" si="0"/>
        <v>0.10071906125363328</v>
      </c>
      <c r="F59" s="32">
        <v>26178.95</v>
      </c>
      <c r="G59" s="21">
        <f t="shared" si="1"/>
        <v>4.6546816659071233E-2</v>
      </c>
    </row>
    <row r="60" spans="2:7" x14ac:dyDescent="0.25">
      <c r="B60" s="59">
        <v>45550</v>
      </c>
      <c r="C60" s="32">
        <v>1485.93</v>
      </c>
      <c r="D60" s="21">
        <f t="shared" si="0"/>
        <v>-2.6373035945956524E-2</v>
      </c>
      <c r="F60" s="32">
        <v>25790.95</v>
      </c>
      <c r="G60" s="21">
        <f t="shared" si="1"/>
        <v>-1.4821068071866894E-2</v>
      </c>
    </row>
    <row r="61" spans="2:7" x14ac:dyDescent="0.25">
      <c r="B61" s="59">
        <v>45543</v>
      </c>
      <c r="C61" s="32">
        <v>1472.63</v>
      </c>
      <c r="D61" s="21">
        <f t="shared" si="0"/>
        <v>-8.9506235152395641E-3</v>
      </c>
      <c r="F61" s="32">
        <v>25356.5</v>
      </c>
      <c r="G61" s="21">
        <f t="shared" si="1"/>
        <v>-1.684505611464493E-2</v>
      </c>
    </row>
    <row r="62" spans="2:7" x14ac:dyDescent="0.25">
      <c r="B62" s="59">
        <v>45536</v>
      </c>
      <c r="C62" s="32">
        <v>1464.82</v>
      </c>
      <c r="D62" s="21">
        <f t="shared" si="0"/>
        <v>-5.3034367084741074E-3</v>
      </c>
      <c r="F62" s="32">
        <v>24852.15</v>
      </c>
      <c r="G62" s="21">
        <f t="shared" si="1"/>
        <v>-1.9890363417664036E-2</v>
      </c>
    </row>
    <row r="63" spans="2:7" x14ac:dyDescent="0.25">
      <c r="B63" s="59">
        <v>45529</v>
      </c>
      <c r="C63" s="32">
        <v>1509.63</v>
      </c>
      <c r="D63" s="21">
        <f t="shared" si="0"/>
        <v>3.0590789311997435E-2</v>
      </c>
      <c r="F63" s="32">
        <v>25235.9</v>
      </c>
      <c r="G63" s="21">
        <f t="shared" si="1"/>
        <v>1.544131996628062E-2</v>
      </c>
    </row>
    <row r="64" spans="2:7" x14ac:dyDescent="0.25">
      <c r="B64" s="59">
        <v>45522</v>
      </c>
      <c r="C64" s="32">
        <v>1499.97</v>
      </c>
      <c r="D64" s="21">
        <f t="shared" si="0"/>
        <v>-6.3989189404026758E-3</v>
      </c>
      <c r="F64" s="32">
        <v>24823.15</v>
      </c>
      <c r="G64" s="21">
        <f t="shared" si="1"/>
        <v>-1.6355667917530181E-2</v>
      </c>
    </row>
    <row r="65" spans="1:10" x14ac:dyDescent="0.25">
      <c r="B65" s="59">
        <v>45515</v>
      </c>
      <c r="C65" s="32">
        <v>1478.2</v>
      </c>
      <c r="D65" s="21">
        <f t="shared" si="0"/>
        <v>-1.4513623605805437E-2</v>
      </c>
      <c r="F65" s="32">
        <v>24541.15</v>
      </c>
      <c r="G65" s="21">
        <f t="shared" si="1"/>
        <v>-1.1360363209342861E-2</v>
      </c>
    </row>
    <row r="66" spans="1:10" x14ac:dyDescent="0.25">
      <c r="B66" s="59">
        <v>45508</v>
      </c>
      <c r="C66" s="32">
        <v>1474.3</v>
      </c>
      <c r="D66" s="21">
        <f t="shared" si="0"/>
        <v>-2.6383439318090618E-3</v>
      </c>
      <c r="F66" s="32">
        <v>24367.5</v>
      </c>
      <c r="G66" s="21">
        <f t="shared" si="1"/>
        <v>-7.0758705276647849E-3</v>
      </c>
    </row>
    <row r="67" spans="1:10" x14ac:dyDescent="0.25">
      <c r="A67" s="51"/>
      <c r="B67" s="280">
        <v>45501</v>
      </c>
      <c r="C67" s="281">
        <v>1499.32</v>
      </c>
      <c r="D67" s="282">
        <f t="shared" si="0"/>
        <v>1.6970765787153175E-2</v>
      </c>
      <c r="E67" s="51"/>
      <c r="F67" s="281">
        <v>24717.7</v>
      </c>
      <c r="G67" s="282">
        <f t="shared" si="1"/>
        <v>1.4371601518415877E-2</v>
      </c>
      <c r="H67" s="51"/>
    </row>
    <row r="68" spans="1:10" x14ac:dyDescent="0.25">
      <c r="A68" s="51"/>
      <c r="B68" s="283">
        <v>45494</v>
      </c>
      <c r="C68" s="284">
        <v>1509.03</v>
      </c>
      <c r="D68" s="285">
        <f t="shared" si="0"/>
        <v>6.4762692420563539E-3</v>
      </c>
      <c r="E68" s="286"/>
      <c r="F68" s="284">
        <v>24834.85</v>
      </c>
      <c r="G68" s="285">
        <f t="shared" si="1"/>
        <v>4.7395186445340354E-3</v>
      </c>
      <c r="H68" s="286"/>
      <c r="I68" s="11"/>
      <c r="J68" s="11"/>
    </row>
    <row r="69" spans="1:10" x14ac:dyDescent="0.25">
      <c r="A69" s="51"/>
      <c r="B69" s="280">
        <v>45487</v>
      </c>
      <c r="C69" s="281">
        <v>1555.15</v>
      </c>
      <c r="D69" s="282">
        <f t="shared" si="0"/>
        <v>3.0562679337057697E-2</v>
      </c>
      <c r="E69" s="51"/>
      <c r="F69" s="281">
        <v>24530.9</v>
      </c>
      <c r="G69" s="282">
        <f t="shared" si="1"/>
        <v>-1.2238849842056476E-2</v>
      </c>
      <c r="H69" s="51"/>
    </row>
    <row r="70" spans="1:10" x14ac:dyDescent="0.25">
      <c r="A70" s="51"/>
      <c r="B70" s="280">
        <v>45480</v>
      </c>
      <c r="C70" s="281">
        <v>1596.72</v>
      </c>
      <c r="D70" s="282">
        <f t="shared" si="0"/>
        <v>2.6730540462334806E-2</v>
      </c>
      <c r="E70" s="51"/>
      <c r="F70" s="281">
        <v>24502.15</v>
      </c>
      <c r="G70" s="282">
        <f t="shared" si="1"/>
        <v>-1.1719912436967128E-3</v>
      </c>
      <c r="H70" s="51"/>
    </row>
    <row r="71" spans="1:10" x14ac:dyDescent="0.25">
      <c r="A71" s="51"/>
      <c r="B71" s="280">
        <v>45473</v>
      </c>
      <c r="C71" s="281">
        <v>1588.63</v>
      </c>
      <c r="D71" s="282">
        <f t="shared" si="0"/>
        <v>-5.0666366050402534E-3</v>
      </c>
      <c r="E71" s="51"/>
      <c r="F71" s="281">
        <v>24323.85</v>
      </c>
      <c r="G71" s="282">
        <f t="shared" si="1"/>
        <v>-7.2769124342150215E-3</v>
      </c>
      <c r="H71" s="51"/>
    </row>
    <row r="72" spans="1:10" x14ac:dyDescent="0.25">
      <c r="A72" s="51"/>
      <c r="B72" s="280">
        <v>45466</v>
      </c>
      <c r="C72" s="281">
        <v>1565.4</v>
      </c>
      <c r="D72" s="282">
        <f t="shared" si="0"/>
        <v>-1.462266229392617E-2</v>
      </c>
      <c r="E72" s="51"/>
      <c r="F72" s="281">
        <v>24010.6</v>
      </c>
      <c r="G72" s="282">
        <f t="shared" si="1"/>
        <v>-1.2878306682535867E-2</v>
      </c>
      <c r="H72" s="51"/>
      <c r="J72" s="273" t="s">
        <v>734</v>
      </c>
    </row>
    <row r="73" spans="1:10" x14ac:dyDescent="0.25">
      <c r="A73" s="51"/>
      <c r="B73" s="280">
        <v>45459</v>
      </c>
      <c r="C73" s="281">
        <v>1454.2</v>
      </c>
      <c r="D73" s="282">
        <f t="shared" si="0"/>
        <v>-7.1036156892806956E-2</v>
      </c>
      <c r="E73" s="51"/>
      <c r="F73" s="281">
        <v>23501.1</v>
      </c>
      <c r="G73" s="282">
        <f t="shared" si="1"/>
        <v>-2.1219794590722429E-2</v>
      </c>
      <c r="H73" s="51"/>
      <c r="J73" s="273" t="s">
        <v>735</v>
      </c>
    </row>
    <row r="74" spans="1:10" x14ac:dyDescent="0.25">
      <c r="A74" s="51"/>
      <c r="B74" s="280">
        <v>45452</v>
      </c>
      <c r="C74" s="281">
        <v>1477.55</v>
      </c>
      <c r="D74" s="282">
        <f t="shared" si="0"/>
        <v>1.6056938522899022E-2</v>
      </c>
      <c r="E74" s="51"/>
      <c r="F74" s="281">
        <v>23465.599999999999</v>
      </c>
      <c r="G74" s="282">
        <f t="shared" si="1"/>
        <v>-1.5105675904532045E-3</v>
      </c>
      <c r="H74" s="51"/>
    </row>
    <row r="75" spans="1:10" x14ac:dyDescent="0.25">
      <c r="A75" s="51"/>
      <c r="B75" s="280">
        <v>45445</v>
      </c>
      <c r="C75" s="281">
        <v>1469.95</v>
      </c>
      <c r="D75" s="282">
        <f t="shared" si="0"/>
        <v>-5.1436499610841846E-3</v>
      </c>
      <c r="E75" s="51"/>
      <c r="F75" s="281">
        <v>23290.15</v>
      </c>
      <c r="G75" s="282">
        <f t="shared" si="1"/>
        <v>-7.4769023591980677E-3</v>
      </c>
      <c r="H75" s="51"/>
    </row>
    <row r="76" spans="1:10" x14ac:dyDescent="0.25">
      <c r="B76" s="59">
        <v>45438</v>
      </c>
      <c r="C76" s="32">
        <v>1430.4</v>
      </c>
      <c r="D76" s="21">
        <f t="shared" si="0"/>
        <v>-2.6905677063845723E-2</v>
      </c>
      <c r="F76" s="32">
        <v>22530.7</v>
      </c>
      <c r="G76" s="21">
        <f t="shared" si="1"/>
        <v>-3.2608205614820029E-2</v>
      </c>
    </row>
    <row r="77" spans="1:10" x14ac:dyDescent="0.25">
      <c r="B77" s="59">
        <v>45431</v>
      </c>
      <c r="C77" s="32">
        <v>1480.25</v>
      </c>
      <c r="D77" s="21">
        <f t="shared" si="0"/>
        <v>3.4850391498881361E-2</v>
      </c>
      <c r="F77" s="32">
        <v>22957.1</v>
      </c>
      <c r="G77" s="21">
        <f t="shared" si="1"/>
        <v>1.8925288606212787E-2</v>
      </c>
    </row>
    <row r="78" spans="1:10" x14ac:dyDescent="0.25">
      <c r="B78" s="59">
        <v>45424</v>
      </c>
      <c r="C78" s="32">
        <v>1435.7</v>
      </c>
      <c r="D78" s="21">
        <f t="shared" si="0"/>
        <v>-3.0096267522377929E-2</v>
      </c>
      <c r="F78" s="32">
        <v>22466.1</v>
      </c>
      <c r="G78" s="21">
        <f t="shared" si="1"/>
        <v>-2.1387718832082458E-2</v>
      </c>
    </row>
    <row r="79" spans="1:10" x14ac:dyDescent="0.25">
      <c r="B79" s="59">
        <v>45417</v>
      </c>
      <c r="C79" s="32">
        <v>1407.43</v>
      </c>
      <c r="D79" s="21">
        <f t="shared" si="0"/>
        <v>-1.9690743191474569E-2</v>
      </c>
      <c r="F79" s="32">
        <v>22055.200000000001</v>
      </c>
      <c r="G79" s="21">
        <f t="shared" si="1"/>
        <v>-1.8289778822314418E-2</v>
      </c>
    </row>
    <row r="80" spans="1:10" x14ac:dyDescent="0.25">
      <c r="B80" s="59">
        <v>45410</v>
      </c>
      <c r="C80" s="32">
        <v>1434</v>
      </c>
      <c r="D80" s="21">
        <f t="shared" ref="D80:D143" si="2">C80/C79-1</f>
        <v>1.8878381162828584E-2</v>
      </c>
      <c r="F80" s="32">
        <v>22475.85</v>
      </c>
      <c r="G80" s="21">
        <f t="shared" ref="G80:G143" si="3">F80/F79-1</f>
        <v>1.9072599659037293E-2</v>
      </c>
    </row>
    <row r="81" spans="2:7" x14ac:dyDescent="0.25">
      <c r="B81" s="59">
        <v>45403</v>
      </c>
      <c r="C81" s="32">
        <v>1452.55</v>
      </c>
      <c r="D81" s="21">
        <f t="shared" si="2"/>
        <v>1.2935843793584256E-2</v>
      </c>
      <c r="F81" s="32">
        <v>22419.95</v>
      </c>
      <c r="G81" s="21">
        <f t="shared" si="3"/>
        <v>-2.4871139467471659E-3</v>
      </c>
    </row>
    <row r="82" spans="2:7" x14ac:dyDescent="0.25">
      <c r="B82" s="59">
        <v>45396</v>
      </c>
      <c r="C82" s="32">
        <v>1470.13</v>
      </c>
      <c r="D82" s="21">
        <f t="shared" si="2"/>
        <v>1.2102853602285801E-2</v>
      </c>
      <c r="F82" s="32">
        <v>22147</v>
      </c>
      <c r="G82" s="21">
        <f t="shared" si="3"/>
        <v>-1.2174425009868428E-2</v>
      </c>
    </row>
    <row r="83" spans="2:7" x14ac:dyDescent="0.25">
      <c r="B83" s="59">
        <v>45389</v>
      </c>
      <c r="C83" s="32">
        <v>1467.15</v>
      </c>
      <c r="D83" s="21">
        <f t="shared" si="2"/>
        <v>-2.0270316230537322E-3</v>
      </c>
      <c r="F83" s="32">
        <v>22519.4</v>
      </c>
      <c r="G83" s="21">
        <f t="shared" si="3"/>
        <v>1.6814918499119536E-2</v>
      </c>
    </row>
    <row r="84" spans="2:7" x14ac:dyDescent="0.25">
      <c r="B84" s="59">
        <v>45382</v>
      </c>
      <c r="C84" s="32">
        <v>1460.1</v>
      </c>
      <c r="D84" s="21">
        <f t="shared" si="2"/>
        <v>-4.8052346385851763E-3</v>
      </c>
      <c r="F84" s="32">
        <v>22513.7</v>
      </c>
      <c r="G84" s="21">
        <f t="shared" si="3"/>
        <v>-2.5311509187642134E-4</v>
      </c>
    </row>
    <row r="85" spans="2:7" x14ac:dyDescent="0.25">
      <c r="B85" s="59">
        <v>45375</v>
      </c>
      <c r="C85" s="32">
        <v>1485.85</v>
      </c>
      <c r="D85" s="21">
        <f t="shared" si="2"/>
        <v>1.7635778371344335E-2</v>
      </c>
      <c r="F85" s="32">
        <v>22326.9</v>
      </c>
      <c r="G85" s="21">
        <f t="shared" si="3"/>
        <v>-8.2971701674979803E-3</v>
      </c>
    </row>
    <row r="86" spans="2:7" x14ac:dyDescent="0.25">
      <c r="B86" s="59">
        <v>45368</v>
      </c>
      <c r="C86" s="32">
        <v>1455.03</v>
      </c>
      <c r="D86" s="21">
        <f t="shared" si="2"/>
        <v>-2.0742336036612019E-2</v>
      </c>
      <c r="F86" s="32">
        <v>22096.75</v>
      </c>
      <c r="G86" s="21">
        <f t="shared" si="3"/>
        <v>-1.0308193255669229E-2</v>
      </c>
    </row>
    <row r="87" spans="2:7" x14ac:dyDescent="0.25">
      <c r="B87" s="59">
        <v>45361</v>
      </c>
      <c r="C87" s="32">
        <v>1418.22</v>
      </c>
      <c r="D87" s="21">
        <f t="shared" si="2"/>
        <v>-2.5298447454691564E-2</v>
      </c>
      <c r="F87" s="32">
        <v>22023.35</v>
      </c>
      <c r="G87" s="21">
        <f t="shared" si="3"/>
        <v>-3.3217554617761547E-3</v>
      </c>
    </row>
    <row r="88" spans="2:7" x14ac:dyDescent="0.25">
      <c r="B88" s="59">
        <v>45354</v>
      </c>
      <c r="C88" s="32">
        <v>1478.93</v>
      </c>
      <c r="D88" s="21">
        <f t="shared" si="2"/>
        <v>4.2807180832310943E-2</v>
      </c>
      <c r="F88" s="32">
        <v>22493.55</v>
      </c>
      <c r="G88" s="21">
        <f t="shared" si="3"/>
        <v>2.1350067087886337E-2</v>
      </c>
    </row>
    <row r="89" spans="2:7" x14ac:dyDescent="0.25">
      <c r="B89" s="59">
        <v>45347</v>
      </c>
      <c r="C89" s="32">
        <v>1492.13</v>
      </c>
      <c r="D89" s="21">
        <f t="shared" si="2"/>
        <v>8.9253717214472506E-3</v>
      </c>
      <c r="F89" s="32">
        <v>22338.75</v>
      </c>
      <c r="G89" s="21">
        <f t="shared" si="3"/>
        <v>-6.8819728322118134E-3</v>
      </c>
    </row>
    <row r="90" spans="2:7" x14ac:dyDescent="0.25">
      <c r="B90" s="59">
        <v>45340</v>
      </c>
      <c r="C90" s="32">
        <v>1493.63</v>
      </c>
      <c r="D90" s="21">
        <f t="shared" si="2"/>
        <v>1.0052743393671459E-3</v>
      </c>
      <c r="F90" s="32">
        <v>22212.7</v>
      </c>
      <c r="G90" s="21">
        <f t="shared" si="3"/>
        <v>-5.6426612948351496E-3</v>
      </c>
    </row>
    <row r="91" spans="2:7" x14ac:dyDescent="0.25">
      <c r="B91" s="59">
        <v>45333</v>
      </c>
      <c r="C91" s="32">
        <v>1460.57</v>
      </c>
      <c r="D91" s="21">
        <f t="shared" si="2"/>
        <v>-2.21339957017469E-2</v>
      </c>
      <c r="F91" s="32">
        <v>22040.7</v>
      </c>
      <c r="G91" s="21">
        <f t="shared" si="3"/>
        <v>-7.7433180117680855E-3</v>
      </c>
    </row>
    <row r="92" spans="2:7" x14ac:dyDescent="0.25">
      <c r="B92" s="59">
        <v>45326</v>
      </c>
      <c r="C92" s="32">
        <v>1460.75</v>
      </c>
      <c r="D92" s="21">
        <f t="shared" si="2"/>
        <v>1.2323955715931589E-4</v>
      </c>
      <c r="F92" s="32">
        <v>21782.5</v>
      </c>
      <c r="G92" s="21">
        <f t="shared" si="3"/>
        <v>-1.1714691457167858E-2</v>
      </c>
    </row>
    <row r="93" spans="2:7" x14ac:dyDescent="0.25">
      <c r="B93" s="59">
        <v>45319</v>
      </c>
      <c r="C93" s="32">
        <v>1457.7</v>
      </c>
      <c r="D93" s="21">
        <f t="shared" si="2"/>
        <v>-2.0879685093273537E-3</v>
      </c>
      <c r="F93" s="32">
        <v>21853.8</v>
      </c>
      <c r="G93" s="21">
        <f t="shared" si="3"/>
        <v>3.273269826695735E-3</v>
      </c>
    </row>
    <row r="94" spans="2:7" x14ac:dyDescent="0.25">
      <c r="B94" s="59">
        <v>45312</v>
      </c>
      <c r="C94" s="32">
        <v>1353.07</v>
      </c>
      <c r="D94" s="21">
        <f t="shared" si="2"/>
        <v>-7.1777457638745989E-2</v>
      </c>
      <c r="F94" s="32">
        <v>21352.6</v>
      </c>
      <c r="G94" s="21">
        <f t="shared" si="3"/>
        <v>-2.2934226541837188E-2</v>
      </c>
    </row>
    <row r="95" spans="2:7" x14ac:dyDescent="0.25">
      <c r="B95" s="59">
        <v>45305</v>
      </c>
      <c r="C95" s="32">
        <v>1367.45</v>
      </c>
      <c r="D95" s="21">
        <f t="shared" si="2"/>
        <v>1.0627683711855296E-2</v>
      </c>
      <c r="F95" s="32">
        <v>21622.400000000001</v>
      </c>
      <c r="G95" s="21">
        <f t="shared" si="3"/>
        <v>1.2635463596939234E-2</v>
      </c>
    </row>
    <row r="96" spans="2:7" x14ac:dyDescent="0.25">
      <c r="B96" s="59">
        <v>45298</v>
      </c>
      <c r="C96" s="32">
        <v>1370.72</v>
      </c>
      <c r="D96" s="21">
        <f t="shared" si="2"/>
        <v>2.3913122966103817E-3</v>
      </c>
      <c r="F96" s="32">
        <v>21894.55</v>
      </c>
      <c r="G96" s="21">
        <f t="shared" si="3"/>
        <v>1.2586484386561958E-2</v>
      </c>
    </row>
    <row r="97" spans="2:7" x14ac:dyDescent="0.25">
      <c r="B97" s="59">
        <v>45291</v>
      </c>
      <c r="C97" s="32">
        <v>1303.8499999999999</v>
      </c>
      <c r="D97" s="21">
        <f t="shared" si="2"/>
        <v>-4.8784580366522778E-2</v>
      </c>
      <c r="F97" s="32">
        <v>21710.799999999999</v>
      </c>
      <c r="G97" s="21">
        <f t="shared" si="3"/>
        <v>-8.3924995033010097E-3</v>
      </c>
    </row>
    <row r="98" spans="2:7" x14ac:dyDescent="0.25">
      <c r="B98" s="59">
        <v>45284</v>
      </c>
      <c r="C98" s="32">
        <v>1292.47</v>
      </c>
      <c r="D98" s="21">
        <f t="shared" si="2"/>
        <v>-8.7279978525136581E-3</v>
      </c>
      <c r="F98" s="32">
        <v>21731.4</v>
      </c>
      <c r="G98" s="21">
        <f t="shared" si="3"/>
        <v>9.4883652375776784E-4</v>
      </c>
    </row>
    <row r="99" spans="2:7" x14ac:dyDescent="0.25">
      <c r="B99" s="59">
        <v>45277</v>
      </c>
      <c r="C99" s="32">
        <v>1282.53</v>
      </c>
      <c r="D99" s="21">
        <f t="shared" si="2"/>
        <v>-7.6907007512747594E-3</v>
      </c>
      <c r="F99" s="32">
        <v>21349.4</v>
      </c>
      <c r="G99" s="21">
        <f t="shared" si="3"/>
        <v>-1.7578250825993735E-2</v>
      </c>
    </row>
    <row r="100" spans="2:7" x14ac:dyDescent="0.25">
      <c r="B100" s="59">
        <v>45270</v>
      </c>
      <c r="C100" s="32">
        <v>1247.8</v>
      </c>
      <c r="D100" s="21">
        <f t="shared" si="2"/>
        <v>-2.7079288593639173E-2</v>
      </c>
      <c r="F100" s="32">
        <v>21456.65</v>
      </c>
      <c r="G100" s="21">
        <f t="shared" si="3"/>
        <v>5.023560381087977E-3</v>
      </c>
    </row>
    <row r="101" spans="2:7" x14ac:dyDescent="0.25">
      <c r="B101" s="59">
        <v>45263</v>
      </c>
      <c r="C101" s="32">
        <v>1227.8800000000001</v>
      </c>
      <c r="D101" s="21">
        <f t="shared" si="2"/>
        <v>-1.596409681038613E-2</v>
      </c>
      <c r="F101" s="32">
        <v>20969.400000000001</v>
      </c>
      <c r="G101" s="21">
        <f t="shared" si="3"/>
        <v>-2.2708577527246754E-2</v>
      </c>
    </row>
    <row r="102" spans="2:7" x14ac:dyDescent="0.25">
      <c r="B102" s="59">
        <v>45256</v>
      </c>
      <c r="C102" s="32">
        <v>1197.1500000000001</v>
      </c>
      <c r="D102" s="21">
        <f t="shared" si="2"/>
        <v>-2.5026875590448583E-2</v>
      </c>
      <c r="F102" s="32">
        <v>20267.900000000001</v>
      </c>
      <c r="G102" s="21">
        <f t="shared" si="3"/>
        <v>-3.3453508445639879E-2</v>
      </c>
    </row>
    <row r="103" spans="2:7" x14ac:dyDescent="0.25">
      <c r="B103" s="59">
        <v>45249</v>
      </c>
      <c r="C103" s="32">
        <v>1196.95</v>
      </c>
      <c r="D103" s="21">
        <f t="shared" si="2"/>
        <v>-1.6706344234229675E-4</v>
      </c>
      <c r="F103" s="32">
        <v>19794.7</v>
      </c>
      <c r="G103" s="21">
        <f t="shared" si="3"/>
        <v>-2.3347263406667706E-2</v>
      </c>
    </row>
    <row r="104" spans="2:7" x14ac:dyDescent="0.25">
      <c r="B104" s="59">
        <v>45242</v>
      </c>
      <c r="C104" s="32">
        <v>1177.78</v>
      </c>
      <c r="D104" s="21">
        <f t="shared" si="2"/>
        <v>-1.6015706587576783E-2</v>
      </c>
      <c r="F104" s="32">
        <v>19731.8</v>
      </c>
      <c r="G104" s="21">
        <f t="shared" si="3"/>
        <v>-3.1776182513502116E-3</v>
      </c>
    </row>
    <row r="105" spans="2:7" x14ac:dyDescent="0.25">
      <c r="B105" s="59">
        <v>45235</v>
      </c>
      <c r="C105" s="32">
        <v>1157.45</v>
      </c>
      <c r="D105" s="21">
        <f t="shared" si="2"/>
        <v>-1.7261288186248613E-2</v>
      </c>
      <c r="F105" s="32">
        <v>19425.349999999999</v>
      </c>
      <c r="G105" s="21">
        <f t="shared" si="3"/>
        <v>-1.5530767593427863E-2</v>
      </c>
    </row>
    <row r="106" spans="2:7" x14ac:dyDescent="0.25">
      <c r="B106" s="59">
        <v>45228</v>
      </c>
      <c r="C106" s="32">
        <v>1159.8499999999999</v>
      </c>
      <c r="D106" s="21">
        <f t="shared" si="2"/>
        <v>2.0735236943278945E-3</v>
      </c>
      <c r="F106" s="32">
        <v>19230.599999999999</v>
      </c>
      <c r="G106" s="21">
        <f t="shared" si="3"/>
        <v>-1.0025559385030358E-2</v>
      </c>
    </row>
    <row r="107" spans="2:7" x14ac:dyDescent="0.25">
      <c r="B107" s="59">
        <v>45221</v>
      </c>
      <c r="C107" s="32">
        <v>1132.9000000000001</v>
      </c>
      <c r="D107" s="21">
        <f t="shared" si="2"/>
        <v>-2.3235763245247121E-2</v>
      </c>
      <c r="F107" s="32">
        <v>19047.25</v>
      </c>
      <c r="G107" s="21">
        <f t="shared" si="3"/>
        <v>-9.5342839016983039E-3</v>
      </c>
    </row>
    <row r="108" spans="2:7" x14ac:dyDescent="0.25">
      <c r="B108" s="59">
        <v>45214</v>
      </c>
      <c r="C108" s="32">
        <v>1149.55</v>
      </c>
      <c r="D108" s="21">
        <f t="shared" si="2"/>
        <v>1.4696795833700982E-2</v>
      </c>
      <c r="F108" s="32">
        <v>19542.650000000001</v>
      </c>
      <c r="G108" s="21">
        <f t="shared" si="3"/>
        <v>2.6009003924451157E-2</v>
      </c>
    </row>
    <row r="109" spans="2:7" x14ac:dyDescent="0.25">
      <c r="B109" s="59">
        <v>45207</v>
      </c>
      <c r="C109" s="32">
        <v>1174.6500000000001</v>
      </c>
      <c r="D109" s="21">
        <f t="shared" si="2"/>
        <v>2.1834630942542788E-2</v>
      </c>
      <c r="F109" s="32">
        <v>19751.05</v>
      </c>
      <c r="G109" s="21">
        <f t="shared" si="3"/>
        <v>1.0663855720692839E-2</v>
      </c>
    </row>
    <row r="110" spans="2:7" x14ac:dyDescent="0.25">
      <c r="B110" s="59">
        <v>45200</v>
      </c>
      <c r="C110" s="32">
        <v>1159</v>
      </c>
      <c r="D110" s="21">
        <f t="shared" si="2"/>
        <v>-1.3323117524368988E-2</v>
      </c>
      <c r="F110" s="32">
        <v>19653.5</v>
      </c>
      <c r="G110" s="21">
        <f t="shared" si="3"/>
        <v>-4.9389779277556611E-3</v>
      </c>
    </row>
    <row r="111" spans="2:7" x14ac:dyDescent="0.25">
      <c r="B111" s="59">
        <v>45193</v>
      </c>
      <c r="C111" s="32">
        <v>1172.5</v>
      </c>
      <c r="D111" s="21">
        <f t="shared" si="2"/>
        <v>1.1647972389991379E-2</v>
      </c>
      <c r="F111" s="32">
        <v>19638.3</v>
      </c>
      <c r="G111" s="21">
        <f t="shared" si="3"/>
        <v>-7.7339914010232658E-4</v>
      </c>
    </row>
    <row r="112" spans="2:7" x14ac:dyDescent="0.25">
      <c r="B112" s="59">
        <v>45186</v>
      </c>
      <c r="C112" s="32">
        <v>1177.47</v>
      </c>
      <c r="D112" s="21">
        <f t="shared" si="2"/>
        <v>4.2388059701492509E-3</v>
      </c>
      <c r="F112" s="32">
        <v>19674.25</v>
      </c>
      <c r="G112" s="21">
        <f t="shared" si="3"/>
        <v>1.8306065188942178E-3</v>
      </c>
    </row>
    <row r="113" spans="2:7" x14ac:dyDescent="0.25">
      <c r="B113" s="59">
        <v>45179</v>
      </c>
      <c r="C113" s="32">
        <v>1228.93</v>
      </c>
      <c r="D113" s="21">
        <f t="shared" si="2"/>
        <v>4.3703873559411299E-2</v>
      </c>
      <c r="F113" s="32">
        <v>20192.349999999999</v>
      </c>
      <c r="G113" s="21">
        <f t="shared" si="3"/>
        <v>2.6333913618054039E-2</v>
      </c>
    </row>
    <row r="114" spans="2:7" x14ac:dyDescent="0.25">
      <c r="B114" s="59">
        <v>45172</v>
      </c>
      <c r="C114" s="32">
        <v>1224.0999999999999</v>
      </c>
      <c r="D114" s="21">
        <f t="shared" si="2"/>
        <v>-3.9302482647507464E-3</v>
      </c>
      <c r="F114" s="32">
        <v>19819.95</v>
      </c>
      <c r="G114" s="21">
        <f t="shared" si="3"/>
        <v>-1.8442628024969765E-2</v>
      </c>
    </row>
    <row r="115" spans="2:7" x14ac:dyDescent="0.25">
      <c r="B115" s="59">
        <v>45165</v>
      </c>
      <c r="C115" s="32">
        <v>1206.32</v>
      </c>
      <c r="D115" s="21">
        <f t="shared" si="2"/>
        <v>-1.4524957111347048E-2</v>
      </c>
      <c r="F115" s="32">
        <v>19435.3</v>
      </c>
      <c r="G115" s="21">
        <f t="shared" si="3"/>
        <v>-1.940721343898455E-2</v>
      </c>
    </row>
    <row r="116" spans="2:7" x14ac:dyDescent="0.25">
      <c r="B116" s="59">
        <v>45158</v>
      </c>
      <c r="C116" s="32">
        <v>1234.18</v>
      </c>
      <c r="D116" s="21">
        <f t="shared" si="2"/>
        <v>2.3095032827110673E-2</v>
      </c>
      <c r="F116" s="32">
        <v>19265.8</v>
      </c>
      <c r="G116" s="21">
        <f t="shared" si="3"/>
        <v>-8.7212443337638668E-3</v>
      </c>
    </row>
    <row r="117" spans="2:7" x14ac:dyDescent="0.25">
      <c r="B117" s="59">
        <v>45151</v>
      </c>
      <c r="C117" s="32">
        <v>1278.4000000000001</v>
      </c>
      <c r="D117" s="21">
        <f t="shared" si="2"/>
        <v>3.5829457615582871E-2</v>
      </c>
      <c r="F117" s="32">
        <v>19310.150000000001</v>
      </c>
      <c r="G117" s="21">
        <f t="shared" si="3"/>
        <v>2.3020066646597392E-3</v>
      </c>
    </row>
    <row r="118" spans="2:7" x14ac:dyDescent="0.25">
      <c r="B118" s="59">
        <v>45144</v>
      </c>
      <c r="C118" s="32">
        <v>1273.57</v>
      </c>
      <c r="D118" s="21">
        <f t="shared" si="2"/>
        <v>-3.7781602002504577E-3</v>
      </c>
      <c r="F118" s="32">
        <v>19428.3</v>
      </c>
      <c r="G118" s="21">
        <f t="shared" si="3"/>
        <v>6.1185438745943177E-3</v>
      </c>
    </row>
    <row r="119" spans="2:7" x14ac:dyDescent="0.25">
      <c r="B119" s="59">
        <v>45137</v>
      </c>
      <c r="C119" s="32">
        <v>1254.78</v>
      </c>
      <c r="D119" s="21">
        <f t="shared" si="2"/>
        <v>-1.4753802303760222E-2</v>
      </c>
      <c r="F119" s="32">
        <v>19517</v>
      </c>
      <c r="G119" s="21">
        <f t="shared" si="3"/>
        <v>4.5655049592605579E-3</v>
      </c>
    </row>
    <row r="120" spans="2:7" x14ac:dyDescent="0.25">
      <c r="B120" s="59">
        <v>45130</v>
      </c>
      <c r="C120" s="32">
        <v>1263.93</v>
      </c>
      <c r="D120" s="21">
        <f t="shared" si="2"/>
        <v>7.2921149524221018E-3</v>
      </c>
      <c r="F120" s="32">
        <v>19646.05</v>
      </c>
      <c r="G120" s="21">
        <f t="shared" si="3"/>
        <v>6.6121842496285055E-3</v>
      </c>
    </row>
    <row r="121" spans="2:7" x14ac:dyDescent="0.25">
      <c r="B121" s="59">
        <v>45123</v>
      </c>
      <c r="C121" s="32">
        <v>1269.3800000000001</v>
      </c>
      <c r="D121" s="21">
        <f t="shared" si="2"/>
        <v>4.3119476553290514E-3</v>
      </c>
      <c r="F121" s="32">
        <v>19745</v>
      </c>
      <c r="G121" s="21">
        <f t="shared" si="3"/>
        <v>5.0366358631888097E-3</v>
      </c>
    </row>
    <row r="122" spans="2:7" x14ac:dyDescent="0.25">
      <c r="B122" s="59">
        <v>45116</v>
      </c>
      <c r="C122" s="32">
        <v>1244.08</v>
      </c>
      <c r="D122" s="21">
        <f t="shared" si="2"/>
        <v>-1.9930989932092968E-2</v>
      </c>
      <c r="F122" s="32">
        <v>19564.5</v>
      </c>
      <c r="G122" s="21">
        <f t="shared" si="3"/>
        <v>-9.1415548240060263E-3</v>
      </c>
    </row>
    <row r="123" spans="2:7" x14ac:dyDescent="0.25">
      <c r="B123" s="59">
        <v>45109</v>
      </c>
      <c r="C123" s="32">
        <v>1195.47</v>
      </c>
      <c r="D123" s="21">
        <f t="shared" si="2"/>
        <v>-3.9073049964632456E-2</v>
      </c>
      <c r="F123" s="32">
        <v>19331.8</v>
      </c>
      <c r="G123" s="21">
        <f t="shared" si="3"/>
        <v>-1.1893991668583404E-2</v>
      </c>
    </row>
    <row r="124" spans="2:7" x14ac:dyDescent="0.25">
      <c r="B124" s="59">
        <v>45102</v>
      </c>
      <c r="C124" s="32">
        <v>1157.6300000000001</v>
      </c>
      <c r="D124" s="21">
        <f t="shared" si="2"/>
        <v>-3.1652822739173692E-2</v>
      </c>
      <c r="F124" s="32">
        <v>19189.05</v>
      </c>
      <c r="G124" s="21">
        <f t="shared" si="3"/>
        <v>-7.3842063336058139E-3</v>
      </c>
    </row>
    <row r="125" spans="2:7" x14ac:dyDescent="0.25">
      <c r="B125" s="59">
        <v>45095</v>
      </c>
      <c r="C125" s="32">
        <v>1141.52</v>
      </c>
      <c r="D125" s="21">
        <f t="shared" si="2"/>
        <v>-1.3916363604951631E-2</v>
      </c>
      <c r="F125" s="32">
        <v>18665.5</v>
      </c>
      <c r="G125" s="21">
        <f t="shared" si="3"/>
        <v>-2.7283789452838936E-2</v>
      </c>
    </row>
    <row r="126" spans="2:7" x14ac:dyDescent="0.25">
      <c r="B126" s="59">
        <v>45088</v>
      </c>
      <c r="C126" s="32">
        <v>1169.96</v>
      </c>
      <c r="D126" s="21">
        <f t="shared" si="2"/>
        <v>2.4914149554979392E-2</v>
      </c>
      <c r="F126" s="32">
        <v>18826</v>
      </c>
      <c r="G126" s="21">
        <f t="shared" si="3"/>
        <v>8.598751707695973E-3</v>
      </c>
    </row>
    <row r="127" spans="2:7" x14ac:dyDescent="0.25">
      <c r="B127" s="59">
        <v>45081</v>
      </c>
      <c r="C127" s="32">
        <v>1126.6300000000001</v>
      </c>
      <c r="D127" s="21">
        <f t="shared" si="2"/>
        <v>-3.7035454203562468E-2</v>
      </c>
      <c r="F127" s="32">
        <v>18563.400000000001</v>
      </c>
      <c r="G127" s="21">
        <f t="shared" si="3"/>
        <v>-1.3948794220758454E-2</v>
      </c>
    </row>
    <row r="128" spans="2:7" x14ac:dyDescent="0.25">
      <c r="B128" s="59">
        <v>45074</v>
      </c>
      <c r="C128" s="32">
        <v>1114.49</v>
      </c>
      <c r="D128" s="21">
        <f t="shared" si="2"/>
        <v>-1.0775498610901657E-2</v>
      </c>
      <c r="F128" s="32">
        <v>18534.099999999999</v>
      </c>
      <c r="G128" s="21">
        <f t="shared" si="3"/>
        <v>-1.5783746511954799E-3</v>
      </c>
    </row>
    <row r="129" spans="2:7" x14ac:dyDescent="0.25">
      <c r="B129" s="59">
        <v>45067</v>
      </c>
      <c r="C129" s="32">
        <v>1137.77</v>
      </c>
      <c r="D129" s="21">
        <f t="shared" si="2"/>
        <v>2.0888478137982336E-2</v>
      </c>
      <c r="F129" s="32">
        <v>18499.349999999999</v>
      </c>
      <c r="G129" s="21">
        <f t="shared" si="3"/>
        <v>-1.874922440258775E-3</v>
      </c>
    </row>
    <row r="130" spans="2:7" x14ac:dyDescent="0.25">
      <c r="B130" s="59">
        <v>45060</v>
      </c>
      <c r="C130" s="32">
        <v>1108.47</v>
      </c>
      <c r="D130" s="21">
        <f t="shared" si="2"/>
        <v>-2.5752129164945403E-2</v>
      </c>
      <c r="F130" s="32">
        <v>18203.400000000001</v>
      </c>
      <c r="G130" s="21">
        <f t="shared" si="3"/>
        <v>-1.599785938424847E-2</v>
      </c>
    </row>
    <row r="131" spans="2:7" x14ac:dyDescent="0.25">
      <c r="B131" s="59">
        <v>45053</v>
      </c>
      <c r="C131" s="32">
        <v>1127.72</v>
      </c>
      <c r="D131" s="21">
        <f t="shared" si="2"/>
        <v>1.7366279646720217E-2</v>
      </c>
      <c r="F131" s="32">
        <v>18314.8</v>
      </c>
      <c r="G131" s="21">
        <f t="shared" si="3"/>
        <v>6.1197358735181062E-3</v>
      </c>
    </row>
    <row r="132" spans="2:7" x14ac:dyDescent="0.25">
      <c r="B132" s="59">
        <v>45046</v>
      </c>
      <c r="C132" s="32">
        <v>1108.3800000000001</v>
      </c>
      <c r="D132" s="21">
        <f t="shared" si="2"/>
        <v>-1.714964707551514E-2</v>
      </c>
      <c r="F132" s="32">
        <v>18069</v>
      </c>
      <c r="G132" s="21">
        <f t="shared" si="3"/>
        <v>-1.3420839976412524E-2</v>
      </c>
    </row>
    <row r="133" spans="2:7" x14ac:dyDescent="0.25">
      <c r="B133" s="59">
        <v>45039</v>
      </c>
      <c r="C133" s="32">
        <v>1098.74</v>
      </c>
      <c r="D133" s="21">
        <f t="shared" si="2"/>
        <v>-8.6973781555063079E-3</v>
      </c>
      <c r="F133" s="32">
        <v>18065</v>
      </c>
      <c r="G133" s="21">
        <f t="shared" si="3"/>
        <v>-2.2137362333274346E-4</v>
      </c>
    </row>
    <row r="134" spans="2:7" x14ac:dyDescent="0.25">
      <c r="B134" s="59">
        <v>45032</v>
      </c>
      <c r="C134" s="32">
        <v>1066.28</v>
      </c>
      <c r="D134" s="21">
        <f t="shared" si="2"/>
        <v>-2.9542930993683658E-2</v>
      </c>
      <c r="F134" s="32">
        <v>17624.05</v>
      </c>
      <c r="G134" s="21">
        <f t="shared" si="3"/>
        <v>-2.4409078328259115E-2</v>
      </c>
    </row>
    <row r="135" spans="2:7" x14ac:dyDescent="0.25">
      <c r="B135" s="59">
        <v>45025</v>
      </c>
      <c r="C135" s="32">
        <v>1069.23</v>
      </c>
      <c r="D135" s="21">
        <f t="shared" si="2"/>
        <v>2.7666279026148377E-3</v>
      </c>
      <c r="F135" s="32">
        <v>17828</v>
      </c>
      <c r="G135" s="21">
        <f t="shared" si="3"/>
        <v>1.15722549584234E-2</v>
      </c>
    </row>
    <row r="136" spans="2:7" x14ac:dyDescent="0.25">
      <c r="B136" s="59">
        <v>45018</v>
      </c>
      <c r="C136" s="32">
        <v>1062.8499999999999</v>
      </c>
      <c r="D136" s="21">
        <f t="shared" si="2"/>
        <v>-5.9669107675618394E-3</v>
      </c>
      <c r="F136" s="32">
        <v>17599.150000000001</v>
      </c>
      <c r="G136" s="21">
        <f t="shared" si="3"/>
        <v>-1.2836549248373297E-2</v>
      </c>
    </row>
    <row r="137" spans="2:7" x14ac:dyDescent="0.25">
      <c r="B137" s="59">
        <v>45011</v>
      </c>
      <c r="C137" s="32">
        <v>1058.1300000000001</v>
      </c>
      <c r="D137" s="21">
        <f t="shared" si="2"/>
        <v>-4.4408900597447953E-3</v>
      </c>
      <c r="F137" s="32">
        <v>17359.75</v>
      </c>
      <c r="G137" s="21">
        <f t="shared" si="3"/>
        <v>-1.3602929686945209E-2</v>
      </c>
    </row>
    <row r="138" spans="2:7" x14ac:dyDescent="0.25">
      <c r="B138" s="59">
        <v>45004</v>
      </c>
      <c r="C138" s="32">
        <v>1000.14</v>
      </c>
      <c r="D138" s="21">
        <f t="shared" si="2"/>
        <v>-5.4804230104051554E-2</v>
      </c>
      <c r="F138" s="32">
        <v>16945.05</v>
      </c>
      <c r="G138" s="21">
        <f t="shared" si="3"/>
        <v>-2.388859286568068E-2</v>
      </c>
    </row>
    <row r="139" spans="2:7" x14ac:dyDescent="0.25">
      <c r="B139" s="59">
        <v>44997</v>
      </c>
      <c r="C139" s="32">
        <v>1009.13</v>
      </c>
      <c r="D139" s="21">
        <f t="shared" si="2"/>
        <v>8.9887415761793488E-3</v>
      </c>
      <c r="F139" s="32">
        <v>17100.05</v>
      </c>
      <c r="G139" s="21">
        <f t="shared" si="3"/>
        <v>9.1472140831687643E-3</v>
      </c>
    </row>
    <row r="140" spans="2:7" x14ac:dyDescent="0.25">
      <c r="B140" s="59">
        <v>44990</v>
      </c>
      <c r="C140" s="32">
        <v>1054.3399999999999</v>
      </c>
      <c r="D140" s="21">
        <f t="shared" si="2"/>
        <v>4.4800967169740247E-2</v>
      </c>
      <c r="F140" s="32">
        <v>17412.900000000001</v>
      </c>
      <c r="G140" s="21">
        <f t="shared" si="3"/>
        <v>1.829526814249105E-2</v>
      </c>
    </row>
    <row r="141" spans="2:7" x14ac:dyDescent="0.25">
      <c r="B141" s="59">
        <v>44983</v>
      </c>
      <c r="C141" s="32">
        <v>1082.8</v>
      </c>
      <c r="D141" s="21">
        <f t="shared" si="2"/>
        <v>2.6993190052544858E-2</v>
      </c>
      <c r="F141" s="32">
        <v>17594.349999999999</v>
      </c>
      <c r="G141" s="21">
        <f t="shared" si="3"/>
        <v>1.0420435424311592E-2</v>
      </c>
    </row>
    <row r="142" spans="2:7" x14ac:dyDescent="0.25">
      <c r="B142" s="59">
        <v>44976</v>
      </c>
      <c r="C142" s="32">
        <v>1082.03</v>
      </c>
      <c r="D142" s="21">
        <f t="shared" si="2"/>
        <v>-7.1111932028078417E-4</v>
      </c>
      <c r="F142" s="32">
        <v>17465.8</v>
      </c>
      <c r="G142" s="21">
        <f t="shared" si="3"/>
        <v>-7.3063227683887177E-3</v>
      </c>
    </row>
    <row r="143" spans="2:7" x14ac:dyDescent="0.25">
      <c r="B143" s="59">
        <v>44969</v>
      </c>
      <c r="C143" s="32">
        <v>1107.68</v>
      </c>
      <c r="D143" s="21">
        <f t="shared" si="2"/>
        <v>2.3705442547803823E-2</v>
      </c>
      <c r="F143" s="32">
        <v>17944.2</v>
      </c>
      <c r="G143" s="21">
        <f t="shared" si="3"/>
        <v>2.7390672056247123E-2</v>
      </c>
    </row>
    <row r="144" spans="2:7" x14ac:dyDescent="0.25">
      <c r="B144" s="59">
        <v>44962</v>
      </c>
      <c r="C144" s="32">
        <v>1060.67</v>
      </c>
      <c r="D144" s="21">
        <f t="shared" ref="D144:D207" si="4">C144/C143-1</f>
        <v>-4.2440054889498757E-2</v>
      </c>
      <c r="F144" s="32">
        <v>17856.5</v>
      </c>
      <c r="G144" s="21">
        <f t="shared" ref="G144:G207" si="5">F144/F143-1</f>
        <v>-4.8873730787664105E-3</v>
      </c>
    </row>
    <row r="145" spans="2:7" x14ac:dyDescent="0.25">
      <c r="B145" s="59">
        <v>44955</v>
      </c>
      <c r="C145" s="32">
        <v>1057.2</v>
      </c>
      <c r="D145" s="21">
        <f t="shared" si="4"/>
        <v>-3.2715170599715293E-3</v>
      </c>
      <c r="F145" s="32">
        <v>17854.05</v>
      </c>
      <c r="G145" s="21">
        <f t="shared" si="5"/>
        <v>-1.3720493937785516E-4</v>
      </c>
    </row>
    <row r="146" spans="2:7" x14ac:dyDescent="0.25">
      <c r="B146" s="59">
        <v>44948</v>
      </c>
      <c r="C146" s="32">
        <v>1060.99</v>
      </c>
      <c r="D146" s="21">
        <f t="shared" si="4"/>
        <v>3.5849413545212538E-3</v>
      </c>
      <c r="F146" s="32">
        <v>17604.349999999999</v>
      </c>
      <c r="G146" s="21">
        <f t="shared" si="5"/>
        <v>-1.3985622309784063E-2</v>
      </c>
    </row>
    <row r="147" spans="2:7" x14ac:dyDescent="0.25">
      <c r="B147" s="59">
        <v>44941</v>
      </c>
      <c r="C147" s="32">
        <v>1108.79</v>
      </c>
      <c r="D147" s="21">
        <f t="shared" si="4"/>
        <v>4.5052262509542862E-2</v>
      </c>
      <c r="F147" s="32">
        <v>18027.650000000001</v>
      </c>
      <c r="G147" s="21">
        <f t="shared" si="5"/>
        <v>2.4045193375501039E-2</v>
      </c>
    </row>
    <row r="148" spans="2:7" x14ac:dyDescent="0.25">
      <c r="B148" s="59">
        <v>44934</v>
      </c>
      <c r="C148" s="32">
        <v>1120.1199999999999</v>
      </c>
      <c r="D148" s="21">
        <f t="shared" si="4"/>
        <v>1.0218346125055122E-2</v>
      </c>
      <c r="F148" s="32">
        <v>17956.599999999999</v>
      </c>
      <c r="G148" s="21">
        <f t="shared" si="5"/>
        <v>-3.9411681500363116E-3</v>
      </c>
    </row>
    <row r="149" spans="2:7" x14ac:dyDescent="0.25">
      <c r="B149" s="59">
        <v>44927</v>
      </c>
      <c r="C149" s="32">
        <v>1151.57</v>
      </c>
      <c r="D149" s="21">
        <f t="shared" si="4"/>
        <v>2.8077348855479745E-2</v>
      </c>
      <c r="F149" s="32">
        <v>17859.45</v>
      </c>
      <c r="G149" s="21">
        <f t="shared" si="5"/>
        <v>-5.4102669770444978E-3</v>
      </c>
    </row>
    <row r="150" spans="2:7" x14ac:dyDescent="0.25">
      <c r="B150" s="59">
        <v>44920</v>
      </c>
      <c r="C150" s="32">
        <v>1156.25</v>
      </c>
      <c r="D150" s="21">
        <f t="shared" si="4"/>
        <v>4.0640169507715207E-3</v>
      </c>
      <c r="F150" s="32">
        <v>18105.3</v>
      </c>
      <c r="G150" s="21">
        <f t="shared" si="5"/>
        <v>1.3765821455867799E-2</v>
      </c>
    </row>
    <row r="151" spans="2:7" x14ac:dyDescent="0.25">
      <c r="B151" s="59">
        <v>44913</v>
      </c>
      <c r="C151" s="32">
        <v>1135.82</v>
      </c>
      <c r="D151" s="21">
        <f t="shared" si="4"/>
        <v>-1.7669189189189249E-2</v>
      </c>
      <c r="F151" s="32">
        <v>17806.8</v>
      </c>
      <c r="G151" s="21">
        <f t="shared" si="5"/>
        <v>-1.6486885055757128E-2</v>
      </c>
    </row>
    <row r="152" spans="2:7" x14ac:dyDescent="0.25">
      <c r="B152" s="59">
        <v>44906</v>
      </c>
      <c r="C152" s="32">
        <v>1164.5999999999999</v>
      </c>
      <c r="D152" s="21">
        <f t="shared" si="4"/>
        <v>2.5338521948900405E-2</v>
      </c>
      <c r="F152" s="32">
        <v>18269</v>
      </c>
      <c r="G152" s="21">
        <f t="shared" si="5"/>
        <v>2.5956376215827692E-2</v>
      </c>
    </row>
    <row r="153" spans="2:7" x14ac:dyDescent="0.25">
      <c r="B153" s="59">
        <v>44899</v>
      </c>
      <c r="C153" s="32">
        <v>1184.3499999999999</v>
      </c>
      <c r="D153" s="21">
        <f t="shared" si="4"/>
        <v>1.6958612399107009E-2</v>
      </c>
      <c r="F153" s="32">
        <v>18496.599999999999</v>
      </c>
      <c r="G153" s="21">
        <f t="shared" si="5"/>
        <v>1.2458262630685724E-2</v>
      </c>
    </row>
    <row r="154" spans="2:7" x14ac:dyDescent="0.25">
      <c r="B154" s="59">
        <v>44892</v>
      </c>
      <c r="C154" s="32">
        <v>1235.6600000000001</v>
      </c>
      <c r="D154" s="21">
        <f t="shared" si="4"/>
        <v>4.3323341917507641E-2</v>
      </c>
      <c r="F154" s="32">
        <v>18696.099999999999</v>
      </c>
      <c r="G154" s="21">
        <f t="shared" si="5"/>
        <v>1.0785766032676225E-2</v>
      </c>
    </row>
    <row r="155" spans="2:7" x14ac:dyDescent="0.25">
      <c r="B155" s="59">
        <v>44885</v>
      </c>
      <c r="C155" s="32">
        <v>1188.21</v>
      </c>
      <c r="D155" s="21">
        <f t="shared" si="4"/>
        <v>-3.8400530890374429E-2</v>
      </c>
      <c r="F155" s="32">
        <v>18512.75</v>
      </c>
      <c r="G155" s="21">
        <f t="shared" si="5"/>
        <v>-9.8068581147938705E-3</v>
      </c>
    </row>
    <row r="156" spans="2:7" x14ac:dyDescent="0.25">
      <c r="B156" s="59">
        <v>44878</v>
      </c>
      <c r="C156" s="32">
        <v>1179.1500000000001</v>
      </c>
      <c r="D156" s="21">
        <f t="shared" si="4"/>
        <v>-7.6249147877900381E-3</v>
      </c>
      <c r="F156" s="32">
        <v>18307.650000000001</v>
      </c>
      <c r="G156" s="21">
        <f t="shared" si="5"/>
        <v>-1.1078851062105821E-2</v>
      </c>
    </row>
    <row r="157" spans="2:7" x14ac:dyDescent="0.25">
      <c r="B157" s="59">
        <v>44871</v>
      </c>
      <c r="C157" s="32">
        <v>1194.6500000000001</v>
      </c>
      <c r="D157" s="21">
        <f t="shared" si="4"/>
        <v>1.3145062121019402E-2</v>
      </c>
      <c r="F157" s="32">
        <v>18349.7</v>
      </c>
      <c r="G157" s="21">
        <f t="shared" si="5"/>
        <v>2.296854047351804E-3</v>
      </c>
    </row>
    <row r="158" spans="2:7" x14ac:dyDescent="0.25">
      <c r="B158" s="59">
        <v>44864</v>
      </c>
      <c r="C158" s="32">
        <v>1176.93</v>
      </c>
      <c r="D158" s="21">
        <f t="shared" si="4"/>
        <v>-1.483279621646505E-2</v>
      </c>
      <c r="F158" s="32">
        <v>18117.150000000001</v>
      </c>
      <c r="G158" s="21">
        <f t="shared" si="5"/>
        <v>-1.2673231714959932E-2</v>
      </c>
    </row>
    <row r="159" spans="2:7" x14ac:dyDescent="0.25">
      <c r="B159" s="59">
        <v>44857</v>
      </c>
      <c r="C159" s="32">
        <v>1146.69</v>
      </c>
      <c r="D159" s="21">
        <f t="shared" si="4"/>
        <v>-2.5693966506079358E-2</v>
      </c>
      <c r="F159" s="32">
        <v>17786.8</v>
      </c>
      <c r="G159" s="21">
        <f t="shared" si="5"/>
        <v>-1.8234104149935426E-2</v>
      </c>
    </row>
    <row r="160" spans="2:7" x14ac:dyDescent="0.25">
      <c r="B160" s="59">
        <v>44850</v>
      </c>
      <c r="C160" s="32">
        <v>1121.93</v>
      </c>
      <c r="D160" s="21">
        <f t="shared" si="4"/>
        <v>-2.1592583871839821E-2</v>
      </c>
      <c r="F160" s="32">
        <v>17576.3</v>
      </c>
      <c r="G160" s="21">
        <f t="shared" si="5"/>
        <v>-1.1834618930892549E-2</v>
      </c>
    </row>
    <row r="161" spans="2:7" x14ac:dyDescent="0.25">
      <c r="B161" s="59">
        <v>44843</v>
      </c>
      <c r="C161" s="32">
        <v>1076.1300000000001</v>
      </c>
      <c r="D161" s="21">
        <f t="shared" si="4"/>
        <v>-4.082251120836411E-2</v>
      </c>
      <c r="F161" s="32">
        <v>17185.7</v>
      </c>
      <c r="G161" s="21">
        <f t="shared" si="5"/>
        <v>-2.2223107252379526E-2</v>
      </c>
    </row>
    <row r="162" spans="2:7" x14ac:dyDescent="0.25">
      <c r="B162" s="59">
        <v>44836</v>
      </c>
      <c r="C162" s="32">
        <v>1104.1099999999999</v>
      </c>
      <c r="D162" s="21">
        <f t="shared" si="4"/>
        <v>2.600057613857043E-2</v>
      </c>
      <c r="F162" s="32">
        <v>17314.650000000001</v>
      </c>
      <c r="G162" s="21">
        <f t="shared" si="5"/>
        <v>7.5033312579644296E-3</v>
      </c>
    </row>
    <row r="163" spans="2:7" x14ac:dyDescent="0.25">
      <c r="B163" s="59">
        <v>44829</v>
      </c>
      <c r="C163" s="32">
        <v>1079.33</v>
      </c>
      <c r="D163" s="21">
        <f t="shared" si="4"/>
        <v>-2.2443415963989022E-2</v>
      </c>
      <c r="F163" s="32">
        <v>17094.349999999999</v>
      </c>
      <c r="G163" s="21">
        <f t="shared" si="5"/>
        <v>-1.2723329665918937E-2</v>
      </c>
    </row>
    <row r="164" spans="2:7" x14ac:dyDescent="0.25">
      <c r="B164" s="59">
        <v>44822</v>
      </c>
      <c r="C164" s="32">
        <v>1107.3599999999999</v>
      </c>
      <c r="D164" s="21">
        <f t="shared" si="4"/>
        <v>2.596981460721004E-2</v>
      </c>
      <c r="F164" s="32">
        <v>17327.349999999999</v>
      </c>
      <c r="G164" s="21">
        <f t="shared" si="5"/>
        <v>1.3630234551182063E-2</v>
      </c>
    </row>
    <row r="165" spans="2:7" x14ac:dyDescent="0.25">
      <c r="B165" s="59">
        <v>44815</v>
      </c>
      <c r="C165" s="32">
        <v>1134.46</v>
      </c>
      <c r="D165" s="21">
        <f t="shared" si="4"/>
        <v>2.4472619563647102E-2</v>
      </c>
      <c r="F165" s="32">
        <v>17530.849999999999</v>
      </c>
      <c r="G165" s="21">
        <f t="shared" si="5"/>
        <v>1.1744438705283855E-2</v>
      </c>
    </row>
    <row r="166" spans="2:7" x14ac:dyDescent="0.25">
      <c r="B166" s="59">
        <v>44808</v>
      </c>
      <c r="C166" s="32">
        <v>1166.28</v>
      </c>
      <c r="D166" s="21">
        <f t="shared" si="4"/>
        <v>2.8048586992930558E-2</v>
      </c>
      <c r="F166" s="32">
        <v>17833.349999999999</v>
      </c>
      <c r="G166" s="21">
        <f t="shared" si="5"/>
        <v>1.7255295664500014E-2</v>
      </c>
    </row>
    <row r="167" spans="2:7" x14ac:dyDescent="0.25">
      <c r="B167" s="59">
        <v>44801</v>
      </c>
      <c r="C167" s="32">
        <v>1148.67</v>
      </c>
      <c r="D167" s="21">
        <f t="shared" si="4"/>
        <v>-1.5099290050416658E-2</v>
      </c>
      <c r="F167" s="32">
        <v>17539.45</v>
      </c>
      <c r="G167" s="21">
        <f t="shared" si="5"/>
        <v>-1.6480358429571407E-2</v>
      </c>
    </row>
    <row r="168" spans="2:7" x14ac:dyDescent="0.25">
      <c r="B168" s="59">
        <v>44794</v>
      </c>
      <c r="C168" s="32">
        <v>1188.3900000000001</v>
      </c>
      <c r="D168" s="21">
        <f t="shared" si="4"/>
        <v>3.4579121941027413E-2</v>
      </c>
      <c r="F168" s="32">
        <v>17558.900000000001</v>
      </c>
      <c r="G168" s="21">
        <f t="shared" si="5"/>
        <v>1.1089287292360694E-3</v>
      </c>
    </row>
    <row r="169" spans="2:7" x14ac:dyDescent="0.25">
      <c r="B169" s="59">
        <v>44787</v>
      </c>
      <c r="C169" s="32">
        <v>1186.5</v>
      </c>
      <c r="D169" s="21">
        <f t="shared" si="4"/>
        <v>-1.590386994168691E-3</v>
      </c>
      <c r="F169" s="32">
        <v>17758.45</v>
      </c>
      <c r="G169" s="21">
        <f t="shared" si="5"/>
        <v>1.1364607122313908E-2</v>
      </c>
    </row>
    <row r="170" spans="2:7" x14ac:dyDescent="0.25">
      <c r="B170" s="59">
        <v>44780</v>
      </c>
      <c r="C170" s="32">
        <v>1195.2</v>
      </c>
      <c r="D170" s="21">
        <f t="shared" si="4"/>
        <v>7.3324905183311806E-3</v>
      </c>
      <c r="F170" s="32">
        <v>17698.150000000001</v>
      </c>
      <c r="G170" s="21">
        <f t="shared" si="5"/>
        <v>-3.3955666175820021E-3</v>
      </c>
    </row>
    <row r="171" spans="2:7" x14ac:dyDescent="0.25">
      <c r="B171" s="59">
        <v>44773</v>
      </c>
      <c r="C171" s="32">
        <v>1150.26</v>
      </c>
      <c r="D171" s="21">
        <f t="shared" si="4"/>
        <v>-3.7600401606425748E-2</v>
      </c>
      <c r="F171" s="32">
        <v>17397.5</v>
      </c>
      <c r="G171" s="21">
        <f t="shared" si="5"/>
        <v>-1.6987651251684555E-2</v>
      </c>
    </row>
    <row r="172" spans="2:7" x14ac:dyDescent="0.25">
      <c r="B172" s="59">
        <v>44766</v>
      </c>
      <c r="C172" s="32">
        <v>1139.1099999999999</v>
      </c>
      <c r="D172" s="21">
        <f t="shared" si="4"/>
        <v>-9.6934606089058573E-3</v>
      </c>
      <c r="F172" s="32">
        <v>17158.25</v>
      </c>
      <c r="G172" s="21">
        <f t="shared" si="5"/>
        <v>-1.3751975858600329E-2</v>
      </c>
    </row>
    <row r="173" spans="2:7" x14ac:dyDescent="0.25">
      <c r="B173" s="59">
        <v>44759</v>
      </c>
      <c r="C173" s="32">
        <v>1136.23</v>
      </c>
      <c r="D173" s="21">
        <f t="shared" si="4"/>
        <v>-2.5282896296230373E-3</v>
      </c>
      <c r="F173" s="32">
        <v>16719.45</v>
      </c>
      <c r="G173" s="21">
        <f t="shared" si="5"/>
        <v>-2.5573703611965093E-2</v>
      </c>
    </row>
    <row r="174" spans="2:7" x14ac:dyDescent="0.25">
      <c r="B174" s="59">
        <v>44752</v>
      </c>
      <c r="C174" s="32">
        <v>1090.25</v>
      </c>
      <c r="D174" s="21">
        <f t="shared" si="4"/>
        <v>-4.0467158937891101E-2</v>
      </c>
      <c r="F174" s="32">
        <v>16049.2</v>
      </c>
      <c r="G174" s="21">
        <f t="shared" si="5"/>
        <v>-4.0088041173603206E-2</v>
      </c>
    </row>
    <row r="175" spans="2:7" x14ac:dyDescent="0.25">
      <c r="B175" s="59">
        <v>44745</v>
      </c>
      <c r="C175" s="32">
        <v>1085.53</v>
      </c>
      <c r="D175" s="21">
        <f t="shared" si="4"/>
        <v>-4.3292822747076354E-3</v>
      </c>
      <c r="F175" s="32">
        <v>16220.6</v>
      </c>
      <c r="G175" s="21">
        <f t="shared" si="5"/>
        <v>1.0679660045360473E-2</v>
      </c>
    </row>
    <row r="176" spans="2:7" x14ac:dyDescent="0.25">
      <c r="B176" s="59">
        <v>44738</v>
      </c>
      <c r="C176" s="32">
        <v>1093.3800000000001</v>
      </c>
      <c r="D176" s="21">
        <f t="shared" si="4"/>
        <v>7.2314906082744379E-3</v>
      </c>
      <c r="F176" s="32">
        <v>15752.05</v>
      </c>
      <c r="G176" s="21">
        <f t="shared" si="5"/>
        <v>-2.8886107788861137E-2</v>
      </c>
    </row>
    <row r="177" spans="2:7" x14ac:dyDescent="0.25">
      <c r="B177" s="59">
        <v>44731</v>
      </c>
      <c r="C177" s="32">
        <v>1134.8499999999999</v>
      </c>
      <c r="D177" s="21">
        <f t="shared" si="4"/>
        <v>3.7928259159669908E-2</v>
      </c>
      <c r="F177" s="32">
        <v>15699.25</v>
      </c>
      <c r="G177" s="21">
        <f t="shared" si="5"/>
        <v>-3.3519446675194242E-3</v>
      </c>
    </row>
    <row r="178" spans="2:7" x14ac:dyDescent="0.25">
      <c r="B178" s="59">
        <v>44724</v>
      </c>
      <c r="C178" s="32">
        <v>1175.68</v>
      </c>
      <c r="D178" s="21">
        <f t="shared" si="4"/>
        <v>3.5978323126404588E-2</v>
      </c>
      <c r="F178" s="32">
        <v>15293.5</v>
      </c>
      <c r="G178" s="21">
        <f t="shared" si="5"/>
        <v>-2.5845183687118856E-2</v>
      </c>
    </row>
    <row r="179" spans="2:7" x14ac:dyDescent="0.25">
      <c r="B179" s="59">
        <v>44717</v>
      </c>
      <c r="C179" s="32">
        <v>1232.08</v>
      </c>
      <c r="D179" s="21">
        <f t="shared" si="4"/>
        <v>4.7972237343494761E-2</v>
      </c>
      <c r="F179" s="32">
        <v>16201.8</v>
      </c>
      <c r="G179" s="21">
        <f t="shared" si="5"/>
        <v>5.9391244646418428E-2</v>
      </c>
    </row>
    <row r="180" spans="2:7" x14ac:dyDescent="0.25">
      <c r="B180" s="59">
        <v>44710</v>
      </c>
      <c r="C180" s="32">
        <v>1261.7</v>
      </c>
      <c r="D180" s="21">
        <f t="shared" si="4"/>
        <v>2.4040646711252611E-2</v>
      </c>
      <c r="F180" s="32">
        <v>16584.3</v>
      </c>
      <c r="G180" s="21">
        <f t="shared" si="5"/>
        <v>2.3608487945783851E-2</v>
      </c>
    </row>
    <row r="181" spans="2:7" x14ac:dyDescent="0.25">
      <c r="B181" s="59">
        <v>44703</v>
      </c>
      <c r="C181" s="32">
        <v>1168.9100000000001</v>
      </c>
      <c r="D181" s="21">
        <f t="shared" si="4"/>
        <v>-7.3543631608147697E-2</v>
      </c>
      <c r="F181" s="32">
        <v>16352.45</v>
      </c>
      <c r="G181" s="21">
        <f t="shared" si="5"/>
        <v>-1.3980089602817047E-2</v>
      </c>
    </row>
    <row r="182" spans="2:7" x14ac:dyDescent="0.25">
      <c r="B182" s="59">
        <v>44696</v>
      </c>
      <c r="C182" s="32">
        <v>1191.31</v>
      </c>
      <c r="D182" s="21">
        <f t="shared" si="4"/>
        <v>1.9163151996304029E-2</v>
      </c>
      <c r="F182" s="32">
        <v>16266.15</v>
      </c>
      <c r="G182" s="21">
        <f t="shared" si="5"/>
        <v>-5.2774966442338256E-3</v>
      </c>
    </row>
    <row r="183" spans="2:7" x14ac:dyDescent="0.25">
      <c r="B183" s="59">
        <v>44689</v>
      </c>
      <c r="C183" s="32">
        <v>1101.51</v>
      </c>
      <c r="D183" s="21">
        <f t="shared" si="4"/>
        <v>-7.537920440523449E-2</v>
      </c>
      <c r="F183" s="32">
        <v>15782.15</v>
      </c>
      <c r="G183" s="21">
        <f t="shared" si="5"/>
        <v>-2.975504344912594E-2</v>
      </c>
    </row>
    <row r="184" spans="2:7" x14ac:dyDescent="0.25">
      <c r="B184" s="59">
        <v>44682</v>
      </c>
      <c r="C184" s="32">
        <v>1189.5899999999999</v>
      </c>
      <c r="D184" s="21">
        <f t="shared" si="4"/>
        <v>7.9962959936813904E-2</v>
      </c>
      <c r="F184" s="32">
        <v>16411.25</v>
      </c>
      <c r="G184" s="21">
        <f t="shared" si="5"/>
        <v>3.9861489087354984E-2</v>
      </c>
    </row>
    <row r="185" spans="2:7" x14ac:dyDescent="0.25">
      <c r="B185" s="59">
        <v>44675</v>
      </c>
      <c r="C185" s="32">
        <v>1266.58</v>
      </c>
      <c r="D185" s="21">
        <f t="shared" si="4"/>
        <v>6.4719777402298284E-2</v>
      </c>
      <c r="F185" s="32">
        <v>17102.55</v>
      </c>
      <c r="G185" s="21">
        <f t="shared" si="5"/>
        <v>4.2123543301089139E-2</v>
      </c>
    </row>
    <row r="186" spans="2:7" x14ac:dyDescent="0.25">
      <c r="B186" s="59">
        <v>44668</v>
      </c>
      <c r="C186" s="32">
        <v>1252.3</v>
      </c>
      <c r="D186" s="21">
        <f t="shared" si="4"/>
        <v>-1.1274455620647661E-2</v>
      </c>
      <c r="F186" s="32">
        <v>17171.95</v>
      </c>
      <c r="G186" s="21">
        <f t="shared" si="5"/>
        <v>4.0578744105412845E-3</v>
      </c>
    </row>
    <row r="187" spans="2:7" x14ac:dyDescent="0.25">
      <c r="B187" s="59">
        <v>44661</v>
      </c>
      <c r="C187" s="32">
        <v>1158.27</v>
      </c>
      <c r="D187" s="21">
        <f t="shared" si="4"/>
        <v>-7.508584205062685E-2</v>
      </c>
      <c r="F187" s="32">
        <v>17475.650000000001</v>
      </c>
      <c r="G187" s="21">
        <f t="shared" si="5"/>
        <v>1.7685819024630289E-2</v>
      </c>
    </row>
    <row r="188" spans="2:7" x14ac:dyDescent="0.25">
      <c r="B188" s="59">
        <v>44654</v>
      </c>
      <c r="C188" s="32">
        <v>1187.32</v>
      </c>
      <c r="D188" s="21">
        <f t="shared" si="4"/>
        <v>2.5080507998998414E-2</v>
      </c>
      <c r="F188" s="32">
        <v>17784.349999999999</v>
      </c>
      <c r="G188" s="21">
        <f t="shared" si="5"/>
        <v>1.7664578999922576E-2</v>
      </c>
    </row>
    <row r="189" spans="2:7" x14ac:dyDescent="0.25">
      <c r="B189" s="59">
        <v>44647</v>
      </c>
      <c r="C189" s="32">
        <v>1205.57</v>
      </c>
      <c r="D189" s="21">
        <f t="shared" si="4"/>
        <v>1.5370750934878608E-2</v>
      </c>
      <c r="F189" s="32">
        <v>17670.45</v>
      </c>
      <c r="G189" s="21">
        <f t="shared" si="5"/>
        <v>-6.4045073336949088E-3</v>
      </c>
    </row>
    <row r="190" spans="2:7" x14ac:dyDescent="0.25">
      <c r="B190" s="59">
        <v>44640</v>
      </c>
      <c r="C190" s="32">
        <v>1178.33</v>
      </c>
      <c r="D190" s="21">
        <f t="shared" si="4"/>
        <v>-2.2595120980117289E-2</v>
      </c>
      <c r="F190" s="32">
        <v>17153</v>
      </c>
      <c r="G190" s="21">
        <f t="shared" si="5"/>
        <v>-2.928335158414197E-2</v>
      </c>
    </row>
    <row r="191" spans="2:7" x14ac:dyDescent="0.25">
      <c r="B191" s="59">
        <v>44633</v>
      </c>
      <c r="C191" s="32">
        <v>1126.52</v>
      </c>
      <c r="D191" s="21">
        <f t="shared" si="4"/>
        <v>-4.3969006984461045E-2</v>
      </c>
      <c r="F191" s="32">
        <v>17287.05</v>
      </c>
      <c r="G191" s="21">
        <f t="shared" si="5"/>
        <v>7.8149594823062607E-3</v>
      </c>
    </row>
    <row r="192" spans="2:7" x14ac:dyDescent="0.25">
      <c r="B192" s="59">
        <v>44626</v>
      </c>
      <c r="C192" s="32">
        <v>1089.05</v>
      </c>
      <c r="D192" s="21">
        <f t="shared" si="4"/>
        <v>-3.3261726378581824E-2</v>
      </c>
      <c r="F192" s="32">
        <v>16630.45</v>
      </c>
      <c r="G192" s="21">
        <f t="shared" si="5"/>
        <v>-3.7982188979611808E-2</v>
      </c>
    </row>
    <row r="193" spans="2:7" x14ac:dyDescent="0.25">
      <c r="B193" s="59">
        <v>44619</v>
      </c>
      <c r="C193" s="32">
        <v>1055.6400000000001</v>
      </c>
      <c r="D193" s="21">
        <f t="shared" si="4"/>
        <v>-3.0678113952527286E-2</v>
      </c>
      <c r="F193" s="32">
        <v>16245.35</v>
      </c>
      <c r="G193" s="21">
        <f t="shared" si="5"/>
        <v>-2.3156318680492727E-2</v>
      </c>
    </row>
    <row r="194" spans="2:7" x14ac:dyDescent="0.25">
      <c r="B194" s="59">
        <v>44612</v>
      </c>
      <c r="C194" s="32">
        <v>1036.75</v>
      </c>
      <c r="D194" s="21">
        <f t="shared" si="4"/>
        <v>-1.7894357925050342E-2</v>
      </c>
      <c r="F194" s="32">
        <v>16658.400000000001</v>
      </c>
      <c r="G194" s="21">
        <f t="shared" si="5"/>
        <v>2.5425737210955868E-2</v>
      </c>
    </row>
    <row r="195" spans="2:7" x14ac:dyDescent="0.25">
      <c r="B195" s="59">
        <v>44605</v>
      </c>
      <c r="C195" s="32">
        <v>1100.51</v>
      </c>
      <c r="D195" s="21">
        <f t="shared" si="4"/>
        <v>6.149987943091384E-2</v>
      </c>
      <c r="F195" s="32">
        <v>17276.3</v>
      </c>
      <c r="G195" s="21">
        <f t="shared" si="5"/>
        <v>3.7092397829323165E-2</v>
      </c>
    </row>
    <row r="196" spans="2:7" x14ac:dyDescent="0.25">
      <c r="B196" s="59">
        <v>44598</v>
      </c>
      <c r="C196" s="32">
        <v>1078.72</v>
      </c>
      <c r="D196" s="21">
        <f t="shared" si="4"/>
        <v>-1.9799910950377475E-2</v>
      </c>
      <c r="F196" s="32">
        <v>17374.75</v>
      </c>
      <c r="G196" s="21">
        <f t="shared" si="5"/>
        <v>5.6985581403425911E-3</v>
      </c>
    </row>
    <row r="197" spans="2:7" x14ac:dyDescent="0.25">
      <c r="B197" s="59">
        <v>44591</v>
      </c>
      <c r="C197" s="32">
        <v>1058.25</v>
      </c>
      <c r="D197" s="21">
        <f t="shared" si="4"/>
        <v>-1.8976194007712888E-2</v>
      </c>
      <c r="F197" s="32">
        <v>17516.3</v>
      </c>
      <c r="G197" s="21">
        <f t="shared" si="5"/>
        <v>8.1468798112203089E-3</v>
      </c>
    </row>
    <row r="198" spans="2:7" x14ac:dyDescent="0.25">
      <c r="B198" s="59">
        <v>44584</v>
      </c>
      <c r="C198" s="32">
        <v>1060.31</v>
      </c>
      <c r="D198" s="21">
        <f t="shared" si="4"/>
        <v>1.9466099692888594E-3</v>
      </c>
      <c r="F198" s="32">
        <v>17101.95</v>
      </c>
      <c r="G198" s="21">
        <f t="shared" si="5"/>
        <v>-2.3655109812003583E-2</v>
      </c>
    </row>
    <row r="199" spans="2:7" x14ac:dyDescent="0.25">
      <c r="B199" s="59">
        <v>44577</v>
      </c>
      <c r="C199" s="32">
        <v>1124.77</v>
      </c>
      <c r="D199" s="21">
        <f t="shared" si="4"/>
        <v>6.0793541511444893E-2</v>
      </c>
      <c r="F199" s="32">
        <v>17617.150000000001</v>
      </c>
      <c r="G199" s="21">
        <f t="shared" si="5"/>
        <v>3.0125219638696299E-2</v>
      </c>
    </row>
    <row r="200" spans="2:7" x14ac:dyDescent="0.25">
      <c r="B200" s="59">
        <v>44570</v>
      </c>
      <c r="C200" s="32">
        <v>1152.53</v>
      </c>
      <c r="D200" s="21">
        <f t="shared" si="4"/>
        <v>2.4680601367390587E-2</v>
      </c>
      <c r="F200" s="32">
        <v>18255.75</v>
      </c>
      <c r="G200" s="21">
        <f t="shared" si="5"/>
        <v>3.6248768955250865E-2</v>
      </c>
    </row>
    <row r="201" spans="2:7" x14ac:dyDescent="0.25">
      <c r="B201" s="59">
        <v>44563</v>
      </c>
      <c r="C201" s="32">
        <v>1105.77</v>
      </c>
      <c r="D201" s="21">
        <f t="shared" si="4"/>
        <v>-4.0571612018776126E-2</v>
      </c>
      <c r="F201" s="32">
        <v>17812.7</v>
      </c>
      <c r="G201" s="21">
        <f t="shared" si="5"/>
        <v>-2.4269065910740406E-2</v>
      </c>
    </row>
    <row r="202" spans="2:7" x14ac:dyDescent="0.25">
      <c r="B202" s="59">
        <v>44556</v>
      </c>
      <c r="C202" s="32">
        <v>1074.97</v>
      </c>
      <c r="D202" s="21">
        <f t="shared" si="4"/>
        <v>-2.7853893666856533E-2</v>
      </c>
      <c r="F202" s="32">
        <v>17354.05</v>
      </c>
      <c r="G202" s="21">
        <f t="shared" si="5"/>
        <v>-2.5748482824052621E-2</v>
      </c>
    </row>
    <row r="203" spans="2:7" x14ac:dyDescent="0.25">
      <c r="B203" s="59">
        <v>44549</v>
      </c>
      <c r="C203" s="32">
        <v>1077.08</v>
      </c>
      <c r="D203" s="21">
        <f t="shared" si="4"/>
        <v>1.9628454747573354E-3</v>
      </c>
      <c r="F203" s="32">
        <v>17003.75</v>
      </c>
      <c r="G203" s="21">
        <f t="shared" si="5"/>
        <v>-2.0185489842428628E-2</v>
      </c>
    </row>
    <row r="204" spans="2:7" x14ac:dyDescent="0.25">
      <c r="B204" s="59">
        <v>44542</v>
      </c>
      <c r="C204" s="32">
        <v>1062.4000000000001</v>
      </c>
      <c r="D204" s="21">
        <f t="shared" si="4"/>
        <v>-1.3629442566940098E-2</v>
      </c>
      <c r="F204" s="32">
        <v>16985.2</v>
      </c>
      <c r="G204" s="21">
        <f t="shared" si="5"/>
        <v>-1.0909358229801436E-3</v>
      </c>
    </row>
    <row r="205" spans="2:7" x14ac:dyDescent="0.25">
      <c r="B205" s="59">
        <v>44535</v>
      </c>
      <c r="C205" s="32">
        <v>1116.19</v>
      </c>
      <c r="D205" s="21">
        <f t="shared" si="4"/>
        <v>5.0630647590361511E-2</v>
      </c>
      <c r="F205" s="32">
        <v>17511.3</v>
      </c>
      <c r="G205" s="21">
        <f t="shared" si="5"/>
        <v>3.0974024444810677E-2</v>
      </c>
    </row>
    <row r="206" spans="2:7" x14ac:dyDescent="0.25">
      <c r="B206" s="59">
        <v>44528</v>
      </c>
      <c r="C206" s="32">
        <v>1093.18</v>
      </c>
      <c r="D206" s="21">
        <f t="shared" si="4"/>
        <v>-2.0614769886847184E-2</v>
      </c>
      <c r="F206" s="32">
        <v>17196.7</v>
      </c>
      <c r="G206" s="21">
        <f t="shared" si="5"/>
        <v>-1.7965542249861466E-2</v>
      </c>
    </row>
    <row r="207" spans="2:7" x14ac:dyDescent="0.25">
      <c r="B207" s="59">
        <v>44521</v>
      </c>
      <c r="C207" s="32">
        <v>1095.1500000000001</v>
      </c>
      <c r="D207" s="21">
        <f t="shared" si="4"/>
        <v>1.802081999304761E-3</v>
      </c>
      <c r="F207" s="32">
        <v>17026.45</v>
      </c>
      <c r="G207" s="21">
        <f t="shared" si="5"/>
        <v>-9.900155262346888E-3</v>
      </c>
    </row>
    <row r="208" spans="2:7" x14ac:dyDescent="0.25">
      <c r="B208" s="59">
        <v>44514</v>
      </c>
      <c r="C208" s="32">
        <v>1122.7</v>
      </c>
      <c r="D208" s="21">
        <f t="shared" ref="D208:D271" si="6">C208/C207-1</f>
        <v>2.5156371273341582E-2</v>
      </c>
      <c r="F208" s="32">
        <v>17764.8</v>
      </c>
      <c r="G208" s="21">
        <f t="shared" ref="G208:G271" si="7">F208/F207-1</f>
        <v>4.3364882286090145E-2</v>
      </c>
    </row>
    <row r="209" spans="2:7" x14ac:dyDescent="0.25">
      <c r="B209" s="59">
        <v>44507</v>
      </c>
      <c r="C209" s="32">
        <v>1177.08</v>
      </c>
      <c r="D209" s="21">
        <f t="shared" si="6"/>
        <v>4.8436804132893752E-2</v>
      </c>
      <c r="F209" s="32">
        <v>18102.75</v>
      </c>
      <c r="G209" s="21">
        <f t="shared" si="7"/>
        <v>1.9023574709537971E-2</v>
      </c>
    </row>
    <row r="210" spans="2:7" x14ac:dyDescent="0.25">
      <c r="B210" s="59">
        <v>44500</v>
      </c>
      <c r="C210" s="32">
        <v>1134.3</v>
      </c>
      <c r="D210" s="21">
        <f t="shared" si="6"/>
        <v>-3.6344173718014017E-2</v>
      </c>
      <c r="F210" s="32">
        <v>17916.8</v>
      </c>
      <c r="G210" s="21">
        <f t="shared" si="7"/>
        <v>-1.0271920012152935E-2</v>
      </c>
    </row>
    <row r="211" spans="2:7" x14ac:dyDescent="0.25">
      <c r="B211" s="59">
        <v>44493</v>
      </c>
      <c r="C211" s="32">
        <v>1151.28</v>
      </c>
      <c r="D211" s="21">
        <f t="shared" si="6"/>
        <v>1.4969584765935018E-2</v>
      </c>
      <c r="F211" s="32">
        <v>17671.650000000001</v>
      </c>
      <c r="G211" s="21">
        <f t="shared" si="7"/>
        <v>-1.3682688873012938E-2</v>
      </c>
    </row>
    <row r="212" spans="2:7" x14ac:dyDescent="0.25">
      <c r="B212" s="59">
        <v>44486</v>
      </c>
      <c r="C212" s="32">
        <v>1192.6500000000001</v>
      </c>
      <c r="D212" s="21">
        <f t="shared" si="6"/>
        <v>3.593391703147808E-2</v>
      </c>
      <c r="F212" s="32">
        <v>18114.900000000001</v>
      </c>
      <c r="G212" s="21">
        <f t="shared" si="7"/>
        <v>2.5082547470100414E-2</v>
      </c>
    </row>
    <row r="213" spans="2:7" x14ac:dyDescent="0.25">
      <c r="B213" s="59">
        <v>44479</v>
      </c>
      <c r="C213" s="32">
        <v>1225.79</v>
      </c>
      <c r="D213" s="21">
        <f t="shared" si="6"/>
        <v>2.7786861191464229E-2</v>
      </c>
      <c r="F213" s="32">
        <v>18338.55</v>
      </c>
      <c r="G213" s="21">
        <f t="shared" si="7"/>
        <v>1.2346190152857428E-2</v>
      </c>
    </row>
    <row r="214" spans="2:7" x14ac:dyDescent="0.25">
      <c r="B214" s="59">
        <v>44472</v>
      </c>
      <c r="C214" s="32">
        <v>1212.56</v>
      </c>
      <c r="D214" s="21">
        <f t="shared" si="6"/>
        <v>-1.0793039590794473E-2</v>
      </c>
      <c r="F214" s="32">
        <v>17895.2</v>
      </c>
      <c r="G214" s="21">
        <f t="shared" si="7"/>
        <v>-2.4175848145027712E-2</v>
      </c>
    </row>
    <row r="215" spans="2:7" x14ac:dyDescent="0.25">
      <c r="B215" s="59">
        <v>44465</v>
      </c>
      <c r="C215" s="32">
        <v>1145.58</v>
      </c>
      <c r="D215" s="21">
        <f t="shared" si="6"/>
        <v>-5.5238503661674487E-2</v>
      </c>
      <c r="F215" s="32">
        <v>17532.05</v>
      </c>
      <c r="G215" s="21">
        <f t="shared" si="7"/>
        <v>-2.0293151236085771E-2</v>
      </c>
    </row>
    <row r="216" spans="2:7" x14ac:dyDescent="0.25">
      <c r="B216" s="59">
        <v>44458</v>
      </c>
      <c r="C216" s="32">
        <v>1126.97</v>
      </c>
      <c r="D216" s="21">
        <f t="shared" si="6"/>
        <v>-1.6245046177482014E-2</v>
      </c>
      <c r="F216" s="32">
        <v>17853.2</v>
      </c>
      <c r="G216" s="21">
        <f t="shared" si="7"/>
        <v>1.8317880681380849E-2</v>
      </c>
    </row>
    <row r="217" spans="2:7" x14ac:dyDescent="0.25">
      <c r="B217" s="59">
        <v>44451</v>
      </c>
      <c r="C217" s="32">
        <v>1085.1400000000001</v>
      </c>
      <c r="D217" s="21">
        <f t="shared" si="6"/>
        <v>-3.7117225835647694E-2</v>
      </c>
      <c r="F217" s="32">
        <v>17585.150000000001</v>
      </c>
      <c r="G217" s="21">
        <f t="shared" si="7"/>
        <v>-1.5014115116617655E-2</v>
      </c>
    </row>
    <row r="218" spans="2:7" x14ac:dyDescent="0.25">
      <c r="B218" s="59">
        <v>44444</v>
      </c>
      <c r="C218" s="32">
        <v>1101.05</v>
      </c>
      <c r="D218" s="21">
        <f t="shared" si="6"/>
        <v>1.4661702637447593E-2</v>
      </c>
      <c r="F218" s="32">
        <v>17369.25</v>
      </c>
      <c r="G218" s="21">
        <f t="shared" si="7"/>
        <v>-1.2277404514604684E-2</v>
      </c>
    </row>
    <row r="219" spans="2:7" x14ac:dyDescent="0.25">
      <c r="B219" s="59">
        <v>44437</v>
      </c>
      <c r="C219" s="32">
        <v>1084.21</v>
      </c>
      <c r="D219" s="21">
        <f t="shared" si="6"/>
        <v>-1.5294491621633877E-2</v>
      </c>
      <c r="F219" s="32">
        <v>17323.599999999999</v>
      </c>
      <c r="G219" s="21">
        <f t="shared" si="7"/>
        <v>-2.6282078961383792E-3</v>
      </c>
    </row>
    <row r="220" spans="2:7" x14ac:dyDescent="0.25">
      <c r="B220" s="59">
        <v>44430</v>
      </c>
      <c r="C220" s="32">
        <v>1011.08</v>
      </c>
      <c r="D220" s="21">
        <f t="shared" si="6"/>
        <v>-6.7450032742734312E-2</v>
      </c>
      <c r="F220" s="32">
        <v>16705.2</v>
      </c>
      <c r="G220" s="21">
        <f t="shared" si="7"/>
        <v>-3.5696968297582399E-2</v>
      </c>
    </row>
    <row r="221" spans="2:7" x14ac:dyDescent="0.25">
      <c r="B221" s="59">
        <v>44423</v>
      </c>
      <c r="C221" s="32">
        <v>975.15</v>
      </c>
      <c r="D221" s="21">
        <f t="shared" si="6"/>
        <v>-3.5536258258495934E-2</v>
      </c>
      <c r="F221" s="32">
        <v>16450.5</v>
      </c>
      <c r="G221" s="21">
        <f t="shared" si="7"/>
        <v>-1.5246749515121061E-2</v>
      </c>
    </row>
    <row r="222" spans="2:7" x14ac:dyDescent="0.25">
      <c r="B222" s="59">
        <v>44416</v>
      </c>
      <c r="C222" s="32">
        <v>973.97</v>
      </c>
      <c r="D222" s="21">
        <f t="shared" si="6"/>
        <v>-1.2100702456031565E-3</v>
      </c>
      <c r="F222" s="32">
        <v>16529.099999999999</v>
      </c>
      <c r="G222" s="21">
        <f t="shared" si="7"/>
        <v>4.7779702744596975E-3</v>
      </c>
    </row>
    <row r="223" spans="2:7" x14ac:dyDescent="0.25">
      <c r="B223" s="59">
        <v>44409</v>
      </c>
      <c r="C223" s="32">
        <v>948.28</v>
      </c>
      <c r="D223" s="21">
        <f t="shared" si="6"/>
        <v>-2.6376582440937657E-2</v>
      </c>
      <c r="F223" s="32">
        <v>16238.2</v>
      </c>
      <c r="G223" s="21">
        <f t="shared" si="7"/>
        <v>-1.7599264327761266E-2</v>
      </c>
    </row>
    <row r="224" spans="2:7" x14ac:dyDescent="0.25">
      <c r="B224" s="59">
        <v>44402</v>
      </c>
      <c r="C224" s="32">
        <v>923.88</v>
      </c>
      <c r="D224" s="21">
        <f t="shared" si="6"/>
        <v>-2.573079681106849E-2</v>
      </c>
      <c r="F224" s="32">
        <v>15763.05</v>
      </c>
      <c r="G224" s="21">
        <f t="shared" si="7"/>
        <v>-2.9261248167900433E-2</v>
      </c>
    </row>
    <row r="225" spans="2:7" x14ac:dyDescent="0.25">
      <c r="B225" s="59">
        <v>44395</v>
      </c>
      <c r="C225" s="32">
        <v>955.84</v>
      </c>
      <c r="D225" s="21">
        <f t="shared" si="6"/>
        <v>3.459323721695462E-2</v>
      </c>
      <c r="F225" s="32">
        <v>15856.05</v>
      </c>
      <c r="G225" s="21">
        <f t="shared" si="7"/>
        <v>5.899873438198755E-3</v>
      </c>
    </row>
    <row r="226" spans="2:7" x14ac:dyDescent="0.25">
      <c r="B226" s="59">
        <v>44388</v>
      </c>
      <c r="C226" s="32">
        <v>958.88</v>
      </c>
      <c r="D226" s="21">
        <f t="shared" si="6"/>
        <v>3.1804486106461471E-3</v>
      </c>
      <c r="F226" s="32">
        <v>15923.4</v>
      </c>
      <c r="G226" s="21">
        <f t="shared" si="7"/>
        <v>4.2475900366105712E-3</v>
      </c>
    </row>
    <row r="227" spans="2:7" x14ac:dyDescent="0.25">
      <c r="B227" s="59">
        <v>44381</v>
      </c>
      <c r="C227" s="32">
        <v>940.18</v>
      </c>
      <c r="D227" s="21">
        <f t="shared" si="6"/>
        <v>-1.9501918905389659E-2</v>
      </c>
      <c r="F227" s="32">
        <v>15689.8</v>
      </c>
      <c r="G227" s="21">
        <f t="shared" si="7"/>
        <v>-1.4670233744049632E-2</v>
      </c>
    </row>
    <row r="228" spans="2:7" x14ac:dyDescent="0.25">
      <c r="B228" s="59">
        <v>44374</v>
      </c>
      <c r="C228" s="32">
        <v>966.44</v>
      </c>
      <c r="D228" s="21">
        <f t="shared" si="6"/>
        <v>2.7930821757535806E-2</v>
      </c>
      <c r="F228" s="32">
        <v>15722.2</v>
      </c>
      <c r="G228" s="21">
        <f t="shared" si="7"/>
        <v>2.0650358831852955E-3</v>
      </c>
    </row>
    <row r="229" spans="2:7" x14ac:dyDescent="0.25">
      <c r="B229" s="59">
        <v>44367</v>
      </c>
      <c r="C229" s="32">
        <v>955.27</v>
      </c>
      <c r="D229" s="21">
        <f t="shared" si="6"/>
        <v>-1.1557882537974518E-2</v>
      </c>
      <c r="F229" s="32">
        <v>15860.35</v>
      </c>
      <c r="G229" s="21">
        <f t="shared" si="7"/>
        <v>8.7869382147536257E-3</v>
      </c>
    </row>
    <row r="230" spans="2:7" x14ac:dyDescent="0.25">
      <c r="B230" s="59">
        <v>44360</v>
      </c>
      <c r="C230" s="32">
        <v>1010.29</v>
      </c>
      <c r="D230" s="21">
        <f t="shared" si="6"/>
        <v>5.7596281679525241E-2</v>
      </c>
      <c r="F230" s="32">
        <v>15683.35</v>
      </c>
      <c r="G230" s="21">
        <f t="shared" si="7"/>
        <v>-1.1159905046231655E-2</v>
      </c>
    </row>
    <row r="231" spans="2:7" x14ac:dyDescent="0.25">
      <c r="B231" s="59">
        <v>44353</v>
      </c>
      <c r="C231" s="32">
        <v>1004.61</v>
      </c>
      <c r="D231" s="21">
        <f t="shared" si="6"/>
        <v>-5.622148096091184E-3</v>
      </c>
      <c r="F231" s="32">
        <v>15799.35</v>
      </c>
      <c r="G231" s="21">
        <f t="shared" si="7"/>
        <v>7.3963789624027498E-3</v>
      </c>
    </row>
    <row r="232" spans="2:7" x14ac:dyDescent="0.25">
      <c r="B232" s="59">
        <v>44346</v>
      </c>
      <c r="C232" s="32">
        <v>994.33</v>
      </c>
      <c r="D232" s="21">
        <f t="shared" si="6"/>
        <v>-1.0232826669055672E-2</v>
      </c>
      <c r="F232" s="32">
        <v>15670.25</v>
      </c>
      <c r="G232" s="21">
        <f t="shared" si="7"/>
        <v>-8.1712222338260476E-3</v>
      </c>
    </row>
    <row r="233" spans="2:7" x14ac:dyDescent="0.25">
      <c r="B233" s="59">
        <v>44339</v>
      </c>
      <c r="C233" s="32">
        <v>950.89</v>
      </c>
      <c r="D233" s="21">
        <f t="shared" si="6"/>
        <v>-4.3687709311797995E-2</v>
      </c>
      <c r="F233" s="32">
        <v>15435.65</v>
      </c>
      <c r="G233" s="21">
        <f t="shared" si="7"/>
        <v>-1.4971043856990218E-2</v>
      </c>
    </row>
    <row r="234" spans="2:7" x14ac:dyDescent="0.25">
      <c r="B234" s="59">
        <v>44332</v>
      </c>
      <c r="C234" s="32">
        <v>909.02</v>
      </c>
      <c r="D234" s="21">
        <f t="shared" si="6"/>
        <v>-4.403243277350688E-2</v>
      </c>
      <c r="F234" s="32">
        <v>15175.3</v>
      </c>
      <c r="G234" s="21">
        <f t="shared" si="7"/>
        <v>-1.6866798612303335E-2</v>
      </c>
    </row>
    <row r="235" spans="2:7" x14ac:dyDescent="0.25">
      <c r="B235" s="59">
        <v>44325</v>
      </c>
      <c r="C235" s="32">
        <v>879.4</v>
      </c>
      <c r="D235" s="21">
        <f t="shared" si="6"/>
        <v>-3.2584541594244398E-2</v>
      </c>
      <c r="F235" s="32">
        <v>14677.8</v>
      </c>
      <c r="G235" s="21">
        <f t="shared" si="7"/>
        <v>-3.2783536404552116E-2</v>
      </c>
    </row>
    <row r="236" spans="2:7" x14ac:dyDescent="0.25">
      <c r="B236" s="59">
        <v>44318</v>
      </c>
      <c r="C236" s="32">
        <v>876.88</v>
      </c>
      <c r="D236" s="21">
        <f t="shared" si="6"/>
        <v>-2.8655901751193369E-3</v>
      </c>
      <c r="F236" s="32">
        <v>14823.15</v>
      </c>
      <c r="G236" s="21">
        <f t="shared" si="7"/>
        <v>9.9027102154274349E-3</v>
      </c>
    </row>
    <row r="237" spans="2:7" x14ac:dyDescent="0.25">
      <c r="B237" s="59">
        <v>44311</v>
      </c>
      <c r="C237" s="32">
        <v>905.36</v>
      </c>
      <c r="D237" s="21">
        <f t="shared" si="6"/>
        <v>3.2478788431712369E-2</v>
      </c>
      <c r="F237" s="32">
        <v>14631.1</v>
      </c>
      <c r="G237" s="21">
        <f t="shared" si="7"/>
        <v>-1.2956085582349175E-2</v>
      </c>
    </row>
    <row r="238" spans="2:7" x14ac:dyDescent="0.25">
      <c r="B238" s="59">
        <v>44304</v>
      </c>
      <c r="C238" s="32">
        <v>864.44</v>
      </c>
      <c r="D238" s="21">
        <f t="shared" si="6"/>
        <v>-4.519749050101618E-2</v>
      </c>
      <c r="F238" s="32">
        <v>14341.35</v>
      </c>
      <c r="G238" s="21">
        <f t="shared" si="7"/>
        <v>-1.980370580475832E-2</v>
      </c>
    </row>
    <row r="239" spans="2:7" x14ac:dyDescent="0.25">
      <c r="B239" s="59">
        <v>44297</v>
      </c>
      <c r="C239" s="32">
        <v>877.04</v>
      </c>
      <c r="D239" s="21">
        <f t="shared" si="6"/>
        <v>1.4575910415991711E-2</v>
      </c>
      <c r="F239" s="32">
        <v>14617.85</v>
      </c>
      <c r="G239" s="21">
        <f t="shared" si="7"/>
        <v>1.927991437347254E-2</v>
      </c>
    </row>
    <row r="240" spans="2:7" x14ac:dyDescent="0.25">
      <c r="B240" s="59">
        <v>44290</v>
      </c>
      <c r="C240" s="32">
        <v>899.71</v>
      </c>
      <c r="D240" s="21">
        <f t="shared" si="6"/>
        <v>2.5848307944905669E-2</v>
      </c>
      <c r="F240" s="32">
        <v>14834.85</v>
      </c>
      <c r="G240" s="21">
        <f t="shared" si="7"/>
        <v>1.4844864326833296E-2</v>
      </c>
    </row>
    <row r="241" spans="2:7" x14ac:dyDescent="0.25">
      <c r="B241" s="59">
        <v>44283</v>
      </c>
      <c r="C241" s="32">
        <v>917.78</v>
      </c>
      <c r="D241" s="21">
        <f t="shared" si="6"/>
        <v>2.0084249369241025E-2</v>
      </c>
      <c r="F241" s="32">
        <v>14867.35</v>
      </c>
      <c r="G241" s="21">
        <f t="shared" si="7"/>
        <v>2.1907872341142554E-3</v>
      </c>
    </row>
    <row r="242" spans="2:7" x14ac:dyDescent="0.25">
      <c r="B242" s="59">
        <v>44276</v>
      </c>
      <c r="C242" s="32">
        <v>905.43</v>
      </c>
      <c r="D242" s="21">
        <f t="shared" si="6"/>
        <v>-1.3456383882847756E-2</v>
      </c>
      <c r="F242" s="32">
        <v>14507.3</v>
      </c>
      <c r="G242" s="21">
        <f t="shared" si="7"/>
        <v>-2.4217496729410537E-2</v>
      </c>
    </row>
    <row r="243" spans="2:7" x14ac:dyDescent="0.25">
      <c r="B243" s="59">
        <v>44269</v>
      </c>
      <c r="C243" s="32">
        <v>945.08</v>
      </c>
      <c r="D243" s="21">
        <f t="shared" si="6"/>
        <v>4.3791347757419219E-2</v>
      </c>
      <c r="F243" s="32">
        <v>14744</v>
      </c>
      <c r="G243" s="21">
        <f t="shared" si="7"/>
        <v>1.6315923707374891E-2</v>
      </c>
    </row>
    <row r="244" spans="2:7" x14ac:dyDescent="0.25">
      <c r="B244" s="59">
        <v>44262</v>
      </c>
      <c r="C244" s="32">
        <v>970.32</v>
      </c>
      <c r="D244" s="21">
        <f t="shared" si="6"/>
        <v>2.6706733821475481E-2</v>
      </c>
      <c r="F244" s="32">
        <v>15030.95</v>
      </c>
      <c r="G244" s="21">
        <f t="shared" si="7"/>
        <v>1.9462154096581807E-2</v>
      </c>
    </row>
    <row r="245" spans="2:7" x14ac:dyDescent="0.25">
      <c r="B245" s="59">
        <v>44255</v>
      </c>
      <c r="C245" s="32">
        <v>988.98</v>
      </c>
      <c r="D245" s="21">
        <f t="shared" si="6"/>
        <v>1.9230769230769162E-2</v>
      </c>
      <c r="F245" s="32">
        <v>14938.1</v>
      </c>
      <c r="G245" s="21">
        <f t="shared" si="7"/>
        <v>-6.1772542653658613E-3</v>
      </c>
    </row>
    <row r="246" spans="2:7" x14ac:dyDescent="0.25">
      <c r="B246" s="59">
        <v>44248</v>
      </c>
      <c r="C246" s="32">
        <v>946.81</v>
      </c>
      <c r="D246" s="21">
        <f t="shared" si="6"/>
        <v>-4.2639891605492641E-2</v>
      </c>
      <c r="F246" s="32">
        <v>14529.15</v>
      </c>
      <c r="G246" s="21">
        <f t="shared" si="7"/>
        <v>-2.7376306223683144E-2</v>
      </c>
    </row>
    <row r="247" spans="2:7" x14ac:dyDescent="0.25">
      <c r="B247" s="59">
        <v>44241</v>
      </c>
      <c r="C247" s="32">
        <v>944.31</v>
      </c>
      <c r="D247" s="21">
        <f t="shared" si="6"/>
        <v>-2.6404452846927606E-3</v>
      </c>
      <c r="F247" s="32">
        <v>14981.75</v>
      </c>
      <c r="G247" s="21">
        <f t="shared" si="7"/>
        <v>3.1151168512955074E-2</v>
      </c>
    </row>
    <row r="248" spans="2:7" x14ac:dyDescent="0.25">
      <c r="B248" s="59">
        <v>44234</v>
      </c>
      <c r="C248" s="32">
        <v>926.74</v>
      </c>
      <c r="D248" s="21">
        <f t="shared" si="6"/>
        <v>-1.8606178055935008E-2</v>
      </c>
      <c r="F248" s="32">
        <v>15163.3</v>
      </c>
      <c r="G248" s="21">
        <f t="shared" si="7"/>
        <v>1.2118076993675508E-2</v>
      </c>
    </row>
    <row r="249" spans="2:7" x14ac:dyDescent="0.25">
      <c r="B249" s="59">
        <v>44227</v>
      </c>
      <c r="C249" s="32">
        <v>873.25</v>
      </c>
      <c r="D249" s="21">
        <f t="shared" si="6"/>
        <v>-5.7718453935300063E-2</v>
      </c>
      <c r="F249" s="32">
        <v>14924.25</v>
      </c>
      <c r="G249" s="21">
        <f t="shared" si="7"/>
        <v>-1.5765037953479721E-2</v>
      </c>
    </row>
    <row r="250" spans="2:7" x14ac:dyDescent="0.25">
      <c r="B250" s="59">
        <v>44220</v>
      </c>
      <c r="C250" s="32">
        <v>836.11</v>
      </c>
      <c r="D250" s="21">
        <f t="shared" si="6"/>
        <v>-4.2530775837389068E-2</v>
      </c>
      <c r="F250" s="32">
        <v>13634.6</v>
      </c>
      <c r="G250" s="21">
        <f t="shared" si="7"/>
        <v>-8.6413052582206773E-2</v>
      </c>
    </row>
    <row r="251" spans="2:7" x14ac:dyDescent="0.25">
      <c r="B251" s="59">
        <v>44213</v>
      </c>
      <c r="C251" s="32">
        <v>930.37</v>
      </c>
      <c r="D251" s="21">
        <f t="shared" si="6"/>
        <v>0.11273636244034879</v>
      </c>
      <c r="F251" s="32">
        <v>14371.9</v>
      </c>
      <c r="G251" s="21">
        <f t="shared" si="7"/>
        <v>5.4075660452085117E-2</v>
      </c>
    </row>
    <row r="252" spans="2:7" x14ac:dyDescent="0.25">
      <c r="B252" s="59">
        <v>44206</v>
      </c>
      <c r="C252" s="32">
        <v>879.47</v>
      </c>
      <c r="D252" s="21">
        <f t="shared" si="6"/>
        <v>-5.4709416683685008E-2</v>
      </c>
      <c r="F252" s="32">
        <v>14433.7</v>
      </c>
      <c r="G252" s="21">
        <f t="shared" si="7"/>
        <v>4.3000577515848182E-3</v>
      </c>
    </row>
    <row r="253" spans="2:7" x14ac:dyDescent="0.25">
      <c r="B253" s="59">
        <v>44199</v>
      </c>
      <c r="C253" s="32">
        <v>877.76</v>
      </c>
      <c r="D253" s="21">
        <f t="shared" si="6"/>
        <v>-1.9443528488749529E-3</v>
      </c>
      <c r="F253" s="32">
        <v>14347.25</v>
      </c>
      <c r="G253" s="21">
        <f t="shared" si="7"/>
        <v>-5.9894552332389051E-3</v>
      </c>
    </row>
    <row r="254" spans="2:7" x14ac:dyDescent="0.25">
      <c r="B254" s="59">
        <v>44192</v>
      </c>
      <c r="C254" s="32">
        <v>902.18</v>
      </c>
      <c r="D254" s="21">
        <f t="shared" si="6"/>
        <v>2.7820816624134048E-2</v>
      </c>
      <c r="F254" s="32">
        <v>14018.5</v>
      </c>
      <c r="G254" s="21">
        <f t="shared" si="7"/>
        <v>-2.2913798811618924E-2</v>
      </c>
    </row>
    <row r="255" spans="2:7" x14ac:dyDescent="0.25">
      <c r="B255" s="59">
        <v>44185</v>
      </c>
      <c r="C255" s="32">
        <v>905.2</v>
      </c>
      <c r="D255" s="21">
        <f t="shared" si="6"/>
        <v>3.3474472943315625E-3</v>
      </c>
      <c r="F255" s="32">
        <v>13749.25</v>
      </c>
      <c r="G255" s="21">
        <f t="shared" si="7"/>
        <v>-1.9206762492420704E-2</v>
      </c>
    </row>
    <row r="256" spans="2:7" x14ac:dyDescent="0.25">
      <c r="B256" s="59">
        <v>44178</v>
      </c>
      <c r="C256" s="32">
        <v>904.02</v>
      </c>
      <c r="D256" s="21">
        <f t="shared" si="6"/>
        <v>-1.3035793194874357E-3</v>
      </c>
      <c r="F256" s="32">
        <v>13760.55</v>
      </c>
      <c r="G256" s="21">
        <f t="shared" si="7"/>
        <v>8.2186301070952261E-4</v>
      </c>
    </row>
    <row r="257" spans="2:7" x14ac:dyDescent="0.25">
      <c r="B257" s="59">
        <v>44171</v>
      </c>
      <c r="C257" s="32">
        <v>910.49</v>
      </c>
      <c r="D257" s="21">
        <f t="shared" si="6"/>
        <v>7.156921307050812E-3</v>
      </c>
      <c r="F257" s="32">
        <v>13513.85</v>
      </c>
      <c r="G257" s="21">
        <f t="shared" si="7"/>
        <v>-1.7928062468433259E-2</v>
      </c>
    </row>
    <row r="258" spans="2:7" x14ac:dyDescent="0.25">
      <c r="B258" s="59">
        <v>44164</v>
      </c>
      <c r="C258" s="32">
        <v>883.69</v>
      </c>
      <c r="D258" s="21">
        <f t="shared" si="6"/>
        <v>-2.9434699996705005E-2</v>
      </c>
      <c r="F258" s="32">
        <v>13258.55</v>
      </c>
      <c r="G258" s="21">
        <f t="shared" si="7"/>
        <v>-1.8891729595933104E-2</v>
      </c>
    </row>
    <row r="259" spans="2:7" x14ac:dyDescent="0.25">
      <c r="B259" s="59">
        <v>44157</v>
      </c>
      <c r="C259" s="32">
        <v>875.99</v>
      </c>
      <c r="D259" s="21">
        <f t="shared" si="6"/>
        <v>-8.713462865937216E-3</v>
      </c>
      <c r="F259" s="32">
        <v>12968.95</v>
      </c>
      <c r="G259" s="21">
        <f t="shared" si="7"/>
        <v>-2.1842509173325753E-2</v>
      </c>
    </row>
    <row r="260" spans="2:7" x14ac:dyDescent="0.25">
      <c r="B260" s="59">
        <v>44150</v>
      </c>
      <c r="C260" s="32">
        <v>862.24</v>
      </c>
      <c r="D260" s="21">
        <f t="shared" si="6"/>
        <v>-1.5696526216052664E-2</v>
      </c>
      <c r="F260" s="32">
        <v>12859.05</v>
      </c>
      <c r="G260" s="21">
        <f t="shared" si="7"/>
        <v>-8.4740861827674596E-3</v>
      </c>
    </row>
    <row r="261" spans="2:7" x14ac:dyDescent="0.25">
      <c r="B261" s="59">
        <v>44143</v>
      </c>
      <c r="C261" s="32">
        <v>906.22</v>
      </c>
      <c r="D261" s="21">
        <f t="shared" si="6"/>
        <v>5.100668027463362E-2</v>
      </c>
      <c r="F261" s="32">
        <v>12719.95</v>
      </c>
      <c r="G261" s="21">
        <f t="shared" si="7"/>
        <v>-1.0817284325047249E-2</v>
      </c>
    </row>
    <row r="262" spans="2:7" x14ac:dyDescent="0.25">
      <c r="B262" s="59">
        <v>44136</v>
      </c>
      <c r="C262" s="32">
        <v>921.09</v>
      </c>
      <c r="D262" s="21">
        <f t="shared" si="6"/>
        <v>1.6408819050561574E-2</v>
      </c>
      <c r="F262" s="32">
        <v>12263.55</v>
      </c>
      <c r="G262" s="21">
        <f t="shared" si="7"/>
        <v>-3.5880644184922206E-2</v>
      </c>
    </row>
    <row r="263" spans="2:7" x14ac:dyDescent="0.25">
      <c r="B263" s="59">
        <v>44129</v>
      </c>
      <c r="C263" s="32">
        <v>932.6</v>
      </c>
      <c r="D263" s="21">
        <f t="shared" si="6"/>
        <v>1.2496064445385313E-2</v>
      </c>
      <c r="F263" s="32">
        <v>11642.4</v>
      </c>
      <c r="G263" s="21">
        <f t="shared" si="7"/>
        <v>-5.0650097239380076E-2</v>
      </c>
    </row>
    <row r="264" spans="2:7" x14ac:dyDescent="0.25">
      <c r="B264" s="59">
        <v>44122</v>
      </c>
      <c r="C264" s="32">
        <v>959.18</v>
      </c>
      <c r="D264" s="21">
        <f t="shared" si="6"/>
        <v>2.8500965043962934E-2</v>
      </c>
      <c r="F264" s="32">
        <v>11930.35</v>
      </c>
      <c r="G264" s="21">
        <f t="shared" si="7"/>
        <v>2.4732872947158757E-2</v>
      </c>
    </row>
    <row r="265" spans="2:7" x14ac:dyDescent="0.25">
      <c r="B265" s="59">
        <v>44115</v>
      </c>
      <c r="C265" s="32">
        <v>987.66</v>
      </c>
      <c r="D265" s="21">
        <f t="shared" si="6"/>
        <v>2.9692028607769094E-2</v>
      </c>
      <c r="F265" s="32">
        <v>11762.45</v>
      </c>
      <c r="G265" s="21">
        <f t="shared" si="7"/>
        <v>-1.4073350739919555E-2</v>
      </c>
    </row>
    <row r="266" spans="2:7" x14ac:dyDescent="0.25">
      <c r="B266" s="59">
        <v>44108</v>
      </c>
      <c r="C266" s="32">
        <v>1013.83</v>
      </c>
      <c r="D266" s="21">
        <f t="shared" si="6"/>
        <v>2.6496972642407357E-2</v>
      </c>
      <c r="F266" s="32">
        <v>11914.2</v>
      </c>
      <c r="G266" s="21">
        <f t="shared" si="7"/>
        <v>1.2901223809665519E-2</v>
      </c>
    </row>
    <row r="267" spans="2:7" x14ac:dyDescent="0.25">
      <c r="B267" s="59">
        <v>44101</v>
      </c>
      <c r="C267" s="32">
        <v>1010.11</v>
      </c>
      <c r="D267" s="21">
        <f t="shared" si="6"/>
        <v>-3.6692542142173767E-3</v>
      </c>
      <c r="F267" s="32">
        <v>11416.95</v>
      </c>
      <c r="G267" s="21">
        <f t="shared" si="7"/>
        <v>-4.173591176914937E-2</v>
      </c>
    </row>
    <row r="268" spans="2:7" x14ac:dyDescent="0.25">
      <c r="B268" s="59">
        <v>44094</v>
      </c>
      <c r="C268" s="32">
        <v>999.42</v>
      </c>
      <c r="D268" s="21">
        <f t="shared" si="6"/>
        <v>-1.058300581124838E-2</v>
      </c>
      <c r="F268" s="32">
        <v>11050.25</v>
      </c>
      <c r="G268" s="21">
        <f t="shared" si="7"/>
        <v>-3.2118910917539378E-2</v>
      </c>
    </row>
    <row r="269" spans="2:7" x14ac:dyDescent="0.25">
      <c r="B269" s="59">
        <v>44087</v>
      </c>
      <c r="C269" s="32">
        <v>1046.6300000000001</v>
      </c>
      <c r="D269" s="21">
        <f t="shared" si="6"/>
        <v>4.7237397690660821E-2</v>
      </c>
      <c r="F269" s="32">
        <v>11504.95</v>
      </c>
      <c r="G269" s="21">
        <f t="shared" si="7"/>
        <v>4.1148390307911731E-2</v>
      </c>
    </row>
    <row r="270" spans="2:7" x14ac:dyDescent="0.25">
      <c r="B270" s="59">
        <v>44080</v>
      </c>
      <c r="C270" s="32">
        <v>1053</v>
      </c>
      <c r="D270" s="21">
        <f t="shared" si="6"/>
        <v>6.0862004719910434E-3</v>
      </c>
      <c r="F270" s="32">
        <v>11464.45</v>
      </c>
      <c r="G270" s="21">
        <f t="shared" si="7"/>
        <v>-3.5202239036240535E-3</v>
      </c>
    </row>
    <row r="271" spans="2:7" x14ac:dyDescent="0.25">
      <c r="B271" s="59">
        <v>44073</v>
      </c>
      <c r="C271" s="32">
        <v>942.92</v>
      </c>
      <c r="D271" s="21">
        <f t="shared" si="6"/>
        <v>-0.1045394112060779</v>
      </c>
      <c r="F271" s="32">
        <v>11333.85</v>
      </c>
      <c r="G271" s="21">
        <f t="shared" si="7"/>
        <v>-1.1391737065450158E-2</v>
      </c>
    </row>
    <row r="272" spans="2:7" x14ac:dyDescent="0.25">
      <c r="B272" s="59">
        <v>44066</v>
      </c>
      <c r="C272" s="32">
        <v>960.58</v>
      </c>
      <c r="D272" s="21">
        <f t="shared" ref="D272:D274" si="8">C272/C271-1</f>
        <v>1.8729054426674718E-2</v>
      </c>
      <c r="F272" s="32">
        <v>11647.6</v>
      </c>
      <c r="G272" s="21">
        <f t="shared" ref="G272:G274" si="9">F272/F271-1</f>
        <v>2.7682561530283145E-2</v>
      </c>
    </row>
    <row r="273" spans="2:7" x14ac:dyDescent="0.25">
      <c r="B273" s="59">
        <v>44059</v>
      </c>
      <c r="C273" s="32">
        <v>945.01</v>
      </c>
      <c r="D273" s="21">
        <f t="shared" si="8"/>
        <v>-1.6208957088425846E-2</v>
      </c>
      <c r="F273" s="32">
        <v>11371.6</v>
      </c>
      <c r="G273" s="21">
        <f t="shared" si="9"/>
        <v>-2.3695868676808951E-2</v>
      </c>
    </row>
    <row r="274" spans="2:7" x14ac:dyDescent="0.25">
      <c r="B274" s="59">
        <v>44052</v>
      </c>
      <c r="C274" s="32">
        <v>959.52</v>
      </c>
      <c r="D274" s="21">
        <f t="shared" si="8"/>
        <v>1.535433487476312E-2</v>
      </c>
      <c r="F274" s="32">
        <v>11178.4</v>
      </c>
      <c r="G274" s="21">
        <f t="shared" si="9"/>
        <v>-1.6989693622709301E-2</v>
      </c>
    </row>
  </sheetData>
  <mergeCells count="6">
    <mergeCell ref="B1:F5"/>
    <mergeCell ref="I11:K11"/>
    <mergeCell ref="B6:F6"/>
    <mergeCell ref="B9:D10"/>
    <mergeCell ref="B11:D11"/>
    <mergeCell ref="F11:G11"/>
  </mergeCells>
  <pageMargins left="0.25" right="0.25" top="0.75" bottom="0.75" header="0.3" footer="0.3"/>
  <pageSetup scale="6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6AFE-E622-4AC1-B558-6DBD3931753A}">
  <dimension ref="B1:N59"/>
  <sheetViews>
    <sheetView showGridLines="0" view="pageBreakPreview" zoomScale="60" zoomScaleNormal="100" workbookViewId="0">
      <selection activeCell="H4" sqref="H4"/>
    </sheetView>
  </sheetViews>
  <sheetFormatPr defaultRowHeight="15" x14ac:dyDescent="0.25"/>
  <cols>
    <col min="1" max="1" width="2.28515625" customWidth="1"/>
    <col min="2" max="2" width="15.7109375" customWidth="1"/>
    <col min="5" max="5" width="10.140625" bestFit="1" customWidth="1"/>
    <col min="6" max="7" width="15.28515625" customWidth="1"/>
    <col min="8" max="8" width="10.85546875" customWidth="1"/>
    <col min="9" max="9" width="10.140625" customWidth="1"/>
    <col min="10" max="10" width="15.140625" customWidth="1"/>
    <col min="11" max="11" width="21.5703125" bestFit="1" customWidth="1"/>
    <col min="12" max="12" width="0.85546875" customWidth="1"/>
  </cols>
  <sheetData>
    <row r="1" spans="2:11" ht="21" x14ac:dyDescent="0.25">
      <c r="B1" s="307" t="str">
        <f>'Data Sheet'!B1</f>
        <v>RELIANCE INDUSTRIES LTD</v>
      </c>
      <c r="C1" s="307"/>
      <c r="D1" s="307"/>
      <c r="E1" s="307"/>
      <c r="F1" s="307"/>
      <c r="G1" s="57"/>
      <c r="H1" s="57"/>
      <c r="I1" s="57"/>
      <c r="J1" s="57"/>
      <c r="K1" s="57"/>
    </row>
    <row r="2" spans="2:11" ht="21" x14ac:dyDescent="0.25">
      <c r="B2" s="307"/>
      <c r="C2" s="307"/>
      <c r="D2" s="307"/>
      <c r="E2" s="307"/>
      <c r="F2" s="307"/>
      <c r="G2" s="57"/>
      <c r="H2" s="57"/>
      <c r="I2" s="57"/>
      <c r="J2" s="57"/>
      <c r="K2" s="57"/>
    </row>
    <row r="3" spans="2:11" x14ac:dyDescent="0.25">
      <c r="B3" s="307"/>
      <c r="C3" s="307"/>
      <c r="D3" s="307"/>
      <c r="E3" s="307"/>
      <c r="F3" s="307"/>
      <c r="G3" s="11"/>
      <c r="H3" s="11"/>
      <c r="I3" s="11"/>
      <c r="J3" s="11"/>
      <c r="K3" s="11"/>
    </row>
    <row r="4" spans="2:11" ht="21" x14ac:dyDescent="0.25">
      <c r="B4" s="307"/>
      <c r="C4" s="307"/>
      <c r="D4" s="307"/>
      <c r="E4" s="307"/>
      <c r="F4" s="307"/>
      <c r="G4" s="57"/>
      <c r="H4" s="11"/>
      <c r="I4" s="11"/>
      <c r="J4" s="11"/>
      <c r="K4" s="11"/>
    </row>
    <row r="5" spans="2:11" ht="21" x14ac:dyDescent="0.25">
      <c r="B5" s="307"/>
      <c r="C5" s="307"/>
      <c r="D5" s="307"/>
      <c r="E5" s="307"/>
      <c r="F5" s="307"/>
      <c r="G5" s="57"/>
      <c r="H5" s="11"/>
      <c r="I5" s="11"/>
      <c r="J5" s="11"/>
      <c r="K5" s="11"/>
    </row>
    <row r="6" spans="2:11" ht="15.75" x14ac:dyDescent="0.25">
      <c r="B6" s="314" t="s">
        <v>63</v>
      </c>
      <c r="C6" s="314"/>
      <c r="D6" s="314"/>
      <c r="E6" s="314"/>
      <c r="F6" s="314"/>
      <c r="G6" s="58"/>
      <c r="H6" s="11"/>
      <c r="I6" s="11"/>
      <c r="J6" s="11"/>
      <c r="K6" s="11"/>
    </row>
    <row r="8" spans="2:11" ht="15.75" x14ac:dyDescent="0.25">
      <c r="B8" s="306" t="s">
        <v>168</v>
      </c>
      <c r="C8" s="306"/>
      <c r="D8" s="306"/>
      <c r="E8" s="306"/>
      <c r="F8" s="306"/>
      <c r="G8" s="306"/>
      <c r="H8" s="306"/>
      <c r="I8" s="306"/>
      <c r="J8" s="306"/>
      <c r="K8" s="306"/>
    </row>
    <row r="13" spans="2:11" x14ac:dyDescent="0.25">
      <c r="B13" t="s">
        <v>169</v>
      </c>
    </row>
    <row r="14" spans="2:11" ht="15" customHeight="1" x14ac:dyDescent="0.25">
      <c r="B14" s="67"/>
      <c r="C14" s="67"/>
      <c r="D14" s="96"/>
      <c r="E14" s="96"/>
      <c r="F14" s="96"/>
      <c r="G14" s="96"/>
      <c r="H14" s="97" t="s">
        <v>174</v>
      </c>
      <c r="I14" s="97" t="s">
        <v>174</v>
      </c>
      <c r="J14" s="96" t="s">
        <v>177</v>
      </c>
      <c r="K14" s="96" t="s">
        <v>179</v>
      </c>
    </row>
    <row r="15" spans="2:11" x14ac:dyDescent="0.25">
      <c r="B15" s="68" t="s">
        <v>170</v>
      </c>
      <c r="C15" s="68"/>
      <c r="D15" s="79" t="s">
        <v>171</v>
      </c>
      <c r="E15" s="79" t="s">
        <v>172</v>
      </c>
      <c r="F15" s="79" t="s">
        <v>173</v>
      </c>
      <c r="G15" s="79" t="s">
        <v>77</v>
      </c>
      <c r="H15" s="98" t="s">
        <v>175</v>
      </c>
      <c r="I15" s="79" t="s">
        <v>176</v>
      </c>
      <c r="J15" s="79" t="s">
        <v>178</v>
      </c>
      <c r="K15" s="79" t="s">
        <v>178</v>
      </c>
    </row>
    <row r="16" spans="2:11" x14ac:dyDescent="0.25">
      <c r="B16" s="93" t="s">
        <v>185</v>
      </c>
      <c r="D16" s="93" t="s">
        <v>190</v>
      </c>
      <c r="E16">
        <f>'beta- comps'!F7</f>
        <v>369575</v>
      </c>
      <c r="F16">
        <f>'beta- comps'!E7</f>
        <v>1860646.8</v>
      </c>
      <c r="G16" s="63">
        <v>0.3</v>
      </c>
      <c r="H16" s="21">
        <f>E16/F16</f>
        <v>0.19862716556414683</v>
      </c>
      <c r="I16" s="21">
        <f>E16/(E16+F16)</f>
        <v>0.16571221750231302</v>
      </c>
      <c r="J16" s="50">
        <f>'Beta Regression'!K13</f>
        <v>0.98417739677826488</v>
      </c>
      <c r="K16" s="50">
        <f>J16/(1+(1-G16)*H16)</f>
        <v>0.86404186603303601</v>
      </c>
    </row>
    <row r="17" spans="2:14" x14ac:dyDescent="0.25">
      <c r="B17" s="93" t="s">
        <v>186</v>
      </c>
      <c r="D17" s="93" t="s">
        <v>190</v>
      </c>
      <c r="E17">
        <f>'beta- comps'!F8</f>
        <v>152270.56</v>
      </c>
      <c r="F17">
        <f>'beta- comps'!E8</f>
        <v>199744.9</v>
      </c>
      <c r="G17" s="63">
        <v>0.3</v>
      </c>
      <c r="H17" s="21">
        <f t="shared" ref="H17:H20" si="0">E17/F17</f>
        <v>0.76232514572337018</v>
      </c>
      <c r="I17" s="21">
        <f t="shared" ref="I17:I20" si="1">E17/(E17+F17)</f>
        <v>0.43256781960655938</v>
      </c>
      <c r="J17" s="50">
        <f>'beta- comps'!H8</f>
        <v>0.76</v>
      </c>
      <c r="K17" s="50">
        <f t="shared" ref="K17:K20" si="2">J17/(1+(1-G17)*H17)</f>
        <v>0.49555706939920396</v>
      </c>
    </row>
    <row r="18" spans="2:14" x14ac:dyDescent="0.25">
      <c r="B18" s="93" t="s">
        <v>187</v>
      </c>
      <c r="D18" s="93" t="s">
        <v>190</v>
      </c>
      <c r="E18">
        <f>'beta- comps'!F9</f>
        <v>61100.57</v>
      </c>
      <c r="F18">
        <f>'beta- comps'!E9</f>
        <v>138441.71</v>
      </c>
      <c r="G18" s="63">
        <v>0.3</v>
      </c>
      <c r="H18" s="21">
        <f t="shared" si="0"/>
        <v>0.44134509751432571</v>
      </c>
      <c r="I18" s="21">
        <f t="shared" si="1"/>
        <v>0.30620362762217612</v>
      </c>
      <c r="J18" s="50">
        <f>'beta- comps'!H9</f>
        <v>0.9752925421854024</v>
      </c>
      <c r="K18" s="50">
        <f t="shared" si="2"/>
        <v>0.74510013726728519</v>
      </c>
    </row>
    <row r="19" spans="2:14" x14ac:dyDescent="0.25">
      <c r="B19" s="93" t="s">
        <v>188</v>
      </c>
      <c r="D19" s="93" t="s">
        <v>190</v>
      </c>
      <c r="E19">
        <f>'beta- comps'!F10</f>
        <v>70558.22</v>
      </c>
      <c r="F19">
        <f>'beta- comps'!E10</f>
        <v>87708.83</v>
      </c>
      <c r="G19" s="63">
        <v>0.3</v>
      </c>
      <c r="H19" s="21">
        <f t="shared" si="0"/>
        <v>0.80445971061294508</v>
      </c>
      <c r="I19" s="21">
        <f t="shared" si="1"/>
        <v>0.44581749644035196</v>
      </c>
      <c r="J19" s="50">
        <f>'beta- comps'!H10</f>
        <v>1.1093464507082682</v>
      </c>
      <c r="K19" s="50">
        <f t="shared" si="2"/>
        <v>0.709699303363859</v>
      </c>
    </row>
    <row r="20" spans="2:14" x14ac:dyDescent="0.25">
      <c r="B20" s="93" t="s">
        <v>189</v>
      </c>
      <c r="D20" s="93" t="s">
        <v>190</v>
      </c>
      <c r="E20">
        <f>'beta- comps'!F11</f>
        <v>13143.39</v>
      </c>
      <c r="F20">
        <f>'beta- comps'!E11</f>
        <v>22214.19</v>
      </c>
      <c r="G20" s="63">
        <v>0.3</v>
      </c>
      <c r="H20" s="21">
        <f t="shared" si="0"/>
        <v>0.59166640782310764</v>
      </c>
      <c r="I20" s="21">
        <f t="shared" si="1"/>
        <v>0.37172764651879453</v>
      </c>
      <c r="J20" s="50">
        <f>'beta- comps'!H11</f>
        <v>0.97094623859045159</v>
      </c>
      <c r="K20" s="50">
        <f t="shared" si="2"/>
        <v>0.68658552480369139</v>
      </c>
    </row>
    <row r="22" spans="2:14" x14ac:dyDescent="0.25">
      <c r="F22" s="94" t="s">
        <v>196</v>
      </c>
      <c r="G22" s="70">
        <f>AVERAGE(G16:G20)</f>
        <v>0.3</v>
      </c>
      <c r="H22" s="75">
        <f t="shared" ref="H22:K22" si="3">AVERAGE(H16:H20)</f>
        <v>0.55968470544757909</v>
      </c>
      <c r="I22" s="75">
        <f t="shared" si="3"/>
        <v>0.34440576153803903</v>
      </c>
      <c r="J22" s="71">
        <f t="shared" si="3"/>
        <v>0.95995252565247746</v>
      </c>
      <c r="K22" s="71">
        <f t="shared" si="3"/>
        <v>0.70019678017341513</v>
      </c>
      <c r="L22" s="50"/>
    </row>
    <row r="23" spans="2:14" x14ac:dyDescent="0.25">
      <c r="F23" s="95" t="s">
        <v>123</v>
      </c>
      <c r="G23" s="72">
        <f>MEDIAN(G16:G20)</f>
        <v>0.3</v>
      </c>
      <c r="H23" s="76">
        <f t="shared" ref="H23:K23" si="4">MEDIAN(H16:H20)</f>
        <v>0.59166640782310764</v>
      </c>
      <c r="I23" s="76">
        <f t="shared" si="4"/>
        <v>0.37172764651879453</v>
      </c>
      <c r="J23" s="73">
        <f t="shared" si="4"/>
        <v>0.9752925421854024</v>
      </c>
      <c r="K23" s="73">
        <f t="shared" si="4"/>
        <v>0.709699303363859</v>
      </c>
      <c r="L23" s="50"/>
    </row>
    <row r="27" spans="2:14" x14ac:dyDescent="0.25">
      <c r="B27" s="35" t="s">
        <v>197</v>
      </c>
      <c r="C27" s="35"/>
      <c r="D27" s="35"/>
      <c r="E27" s="35"/>
      <c r="F27" s="35"/>
      <c r="H27" s="35" t="s">
        <v>200</v>
      </c>
      <c r="I27" s="35"/>
      <c r="J27" s="35"/>
      <c r="K27" s="35"/>
      <c r="N27" s="34"/>
    </row>
    <row r="28" spans="2:14" x14ac:dyDescent="0.25">
      <c r="F28" s="19"/>
    </row>
    <row r="29" spans="2:14" x14ac:dyDescent="0.25">
      <c r="B29" t="s">
        <v>198</v>
      </c>
      <c r="F29" s="21">
        <f>24269/369575</f>
        <v>6.5667320570926058E-2</v>
      </c>
      <c r="H29" t="s">
        <v>201</v>
      </c>
      <c r="K29" s="63">
        <v>7.3910000000000003E-2</v>
      </c>
    </row>
    <row r="30" spans="2:14" x14ac:dyDescent="0.25">
      <c r="B30" t="s">
        <v>77</v>
      </c>
      <c r="F30" s="4">
        <f>G22</f>
        <v>0.3</v>
      </c>
      <c r="H30" t="s">
        <v>202</v>
      </c>
      <c r="K30" s="4">
        <f>RM!H13-WACC!K29</f>
        <v>7.9437999999999981E-2</v>
      </c>
    </row>
    <row r="31" spans="2:14" x14ac:dyDescent="0.25">
      <c r="B31" s="86" t="s">
        <v>199</v>
      </c>
      <c r="C31" s="86"/>
      <c r="D31" s="86"/>
      <c r="E31" s="86"/>
      <c r="F31" s="88">
        <f>F29*(1-F30)</f>
        <v>4.5967124399648236E-2</v>
      </c>
      <c r="H31" t="s">
        <v>203</v>
      </c>
      <c r="K31" s="50">
        <f>K40</f>
        <v>0.81076040137131888</v>
      </c>
    </row>
    <row r="32" spans="2:14" x14ac:dyDescent="0.25">
      <c r="H32" s="89" t="s">
        <v>200</v>
      </c>
      <c r="I32" s="89"/>
      <c r="J32" s="89"/>
      <c r="K32" s="90">
        <f>K29+K30*K31</f>
        <v>0.13831518476413482</v>
      </c>
    </row>
    <row r="35" spans="2:11" x14ac:dyDescent="0.25">
      <c r="B35" s="35" t="s">
        <v>204</v>
      </c>
      <c r="C35" s="35"/>
      <c r="D35" s="35"/>
      <c r="E35" s="35"/>
      <c r="F35" s="35"/>
      <c r="H35" s="35" t="s">
        <v>203</v>
      </c>
      <c r="I35" s="35"/>
      <c r="J35" s="35"/>
      <c r="K35" s="35"/>
    </row>
    <row r="37" spans="2:11" x14ac:dyDescent="0.25">
      <c r="E37" t="s">
        <v>206</v>
      </c>
      <c r="F37" t="s">
        <v>205</v>
      </c>
      <c r="H37" t="s">
        <v>208</v>
      </c>
      <c r="K37" s="50">
        <f>K23</f>
        <v>0.709699303363859</v>
      </c>
    </row>
    <row r="38" spans="2:11" x14ac:dyDescent="0.25">
      <c r="B38" t="s">
        <v>172</v>
      </c>
      <c r="D38">
        <f>E16</f>
        <v>369575</v>
      </c>
      <c r="E38" s="19">
        <f>D38/D40</f>
        <v>0.16571221750231302</v>
      </c>
      <c r="F38" s="77">
        <f>I22</f>
        <v>0.34440576153803903</v>
      </c>
      <c r="H38" t="s">
        <v>209</v>
      </c>
      <c r="K38" s="48">
        <f>F42</f>
        <v>0.52533372219076058</v>
      </c>
    </row>
    <row r="39" spans="2:11" x14ac:dyDescent="0.25">
      <c r="B39" t="s">
        <v>46</v>
      </c>
      <c r="D39">
        <f>F16</f>
        <v>1860646.8</v>
      </c>
      <c r="E39" s="19">
        <f>D39/D40</f>
        <v>0.83428778249768709</v>
      </c>
      <c r="F39" s="4">
        <f>F40-F38</f>
        <v>0.65559423846196097</v>
      </c>
      <c r="H39" t="s">
        <v>77</v>
      </c>
      <c r="K39" s="4">
        <f>F30</f>
        <v>0.3</v>
      </c>
    </row>
    <row r="40" spans="2:11" x14ac:dyDescent="0.25">
      <c r="B40" t="s">
        <v>207</v>
      </c>
      <c r="D40">
        <f>SUM(D38:D39)</f>
        <v>2230221.7999999998</v>
      </c>
      <c r="E40" s="19">
        <f>D40/D40</f>
        <v>1</v>
      </c>
      <c r="F40" s="4">
        <f>E40</f>
        <v>1</v>
      </c>
      <c r="H40" s="86" t="s">
        <v>203</v>
      </c>
      <c r="I40" s="86"/>
      <c r="J40" s="86"/>
      <c r="K40" s="87">
        <f>K37*(1+(1-K38)*K39)</f>
        <v>0.81076040137131888</v>
      </c>
    </row>
    <row r="42" spans="2:11" x14ac:dyDescent="0.25">
      <c r="B42" s="27" t="s">
        <v>210</v>
      </c>
      <c r="C42" s="27"/>
      <c r="D42" s="27"/>
      <c r="E42" s="85">
        <f t="shared" ref="E42" si="5">E38/E39</f>
        <v>0.19862716556414683</v>
      </c>
      <c r="F42" s="85">
        <f>F38/F39</f>
        <v>0.52533372219076058</v>
      </c>
      <c r="H42" s="35" t="s">
        <v>168</v>
      </c>
      <c r="I42" s="35"/>
      <c r="J42" s="35"/>
      <c r="K42" s="35"/>
    </row>
    <row r="44" spans="2:11" x14ac:dyDescent="0.25">
      <c r="H44" t="s">
        <v>216</v>
      </c>
      <c r="K44" s="4">
        <f>K32</f>
        <v>0.13831518476413482</v>
      </c>
    </row>
    <row r="45" spans="2:11" x14ac:dyDescent="0.25">
      <c r="H45" t="s">
        <v>217</v>
      </c>
      <c r="K45" s="48">
        <f>F39</f>
        <v>0.65559423846196097</v>
      </c>
    </row>
    <row r="46" spans="2:11" x14ac:dyDescent="0.25">
      <c r="K46" s="74"/>
    </row>
    <row r="47" spans="2:11" x14ac:dyDescent="0.25">
      <c r="H47" t="s">
        <v>218</v>
      </c>
      <c r="K47" s="74">
        <f>F31</f>
        <v>4.5967124399648236E-2</v>
      </c>
    </row>
    <row r="48" spans="2:11" x14ac:dyDescent="0.25">
      <c r="H48" t="s">
        <v>219</v>
      </c>
      <c r="K48" s="77">
        <f>F38</f>
        <v>0.34440576153803903</v>
      </c>
    </row>
    <row r="50" spans="2:11" x14ac:dyDescent="0.25">
      <c r="H50" s="91" t="s">
        <v>220</v>
      </c>
      <c r="I50" s="91"/>
      <c r="J50" s="91"/>
      <c r="K50" s="92">
        <f>(K44*K45)+(K47*K48)</f>
        <v>0.10650998070774302</v>
      </c>
    </row>
    <row r="53" spans="2:11" ht="21" x14ac:dyDescent="0.25">
      <c r="B53" s="57"/>
      <c r="C53" s="57"/>
      <c r="D53" s="57"/>
      <c r="E53" s="57"/>
      <c r="F53" s="57"/>
      <c r="G53" s="57"/>
      <c r="H53" s="57"/>
      <c r="I53" s="57"/>
      <c r="J53" s="57"/>
      <c r="K53" s="57"/>
    </row>
    <row r="58" spans="2:11" x14ac:dyDescent="0.25">
      <c r="B58" s="272" t="s">
        <v>731</v>
      </c>
      <c r="K58" s="273" t="s">
        <v>734</v>
      </c>
    </row>
    <row r="59" spans="2:11" x14ac:dyDescent="0.25">
      <c r="B59" s="272" t="s">
        <v>733</v>
      </c>
      <c r="K59" s="273" t="s">
        <v>735</v>
      </c>
    </row>
  </sheetData>
  <mergeCells count="3">
    <mergeCell ref="B6:F6"/>
    <mergeCell ref="B8:K8"/>
    <mergeCell ref="B1:F5"/>
  </mergeCells>
  <pageMargins left="0.7" right="0.7" top="0.75" bottom="0.75" header="0.3" footer="0.3"/>
  <pageSetup scale="62"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8582-31C8-42D0-BCBE-DD79C7D99D6A}">
  <dimension ref="A1:L76"/>
  <sheetViews>
    <sheetView showGridLines="0" view="pageBreakPreview" topLeftCell="A16" zoomScale="60" zoomScaleNormal="100" workbookViewId="0">
      <selection activeCell="O33" sqref="O33"/>
    </sheetView>
  </sheetViews>
  <sheetFormatPr defaultRowHeight="15" x14ac:dyDescent="0.25"/>
  <cols>
    <col min="1" max="1" width="2.28515625" customWidth="1"/>
    <col min="2" max="11" width="13.7109375" customWidth="1"/>
    <col min="12" max="12" width="1" customWidth="1"/>
  </cols>
  <sheetData>
    <row r="1" spans="2:11" x14ac:dyDescent="0.25">
      <c r="B1" s="307" t="str">
        <f>'Data Sheet'!B1</f>
        <v>RELIANCE INDUSTRIES LTD</v>
      </c>
      <c r="C1" s="307"/>
      <c r="D1" s="307"/>
      <c r="E1" s="307"/>
      <c r="F1" s="307"/>
      <c r="G1" s="11"/>
      <c r="H1" s="11"/>
      <c r="I1" s="11"/>
      <c r="J1" s="11"/>
      <c r="K1" s="11"/>
    </row>
    <row r="2" spans="2:11" x14ac:dyDescent="0.25">
      <c r="B2" s="307"/>
      <c r="C2" s="307"/>
      <c r="D2" s="307"/>
      <c r="E2" s="307"/>
      <c r="F2" s="307"/>
      <c r="G2" s="11"/>
      <c r="H2" s="11"/>
      <c r="I2" s="11"/>
      <c r="J2" s="11"/>
      <c r="K2" s="11"/>
    </row>
    <row r="3" spans="2:11" x14ac:dyDescent="0.25">
      <c r="B3" s="307"/>
      <c r="C3" s="307"/>
      <c r="D3" s="307"/>
      <c r="E3" s="307"/>
      <c r="F3" s="307"/>
      <c r="G3" s="11"/>
      <c r="H3" s="11"/>
      <c r="I3" s="11"/>
      <c r="J3" s="11"/>
      <c r="K3" s="11"/>
    </row>
    <row r="4" spans="2:11" ht="21" x14ac:dyDescent="0.25">
      <c r="B4" s="307"/>
      <c r="C4" s="307"/>
      <c r="D4" s="307"/>
      <c r="E4" s="307"/>
      <c r="F4" s="307"/>
      <c r="G4" s="57"/>
      <c r="H4" s="11"/>
      <c r="I4" s="11"/>
      <c r="J4" s="11"/>
      <c r="K4" s="11"/>
    </row>
    <row r="5" spans="2:11" ht="21" x14ac:dyDescent="0.25">
      <c r="B5" s="307"/>
      <c r="C5" s="307"/>
      <c r="D5" s="307"/>
      <c r="E5" s="307"/>
      <c r="F5" s="307"/>
      <c r="G5" s="57"/>
      <c r="H5" s="11"/>
      <c r="I5" s="11"/>
      <c r="J5" s="11"/>
      <c r="K5" s="11"/>
    </row>
    <row r="6" spans="2:11" ht="15.75" x14ac:dyDescent="0.25">
      <c r="B6" s="314" t="s">
        <v>63</v>
      </c>
      <c r="C6" s="314"/>
      <c r="D6" s="314"/>
      <c r="E6" s="314"/>
      <c r="F6" s="314"/>
      <c r="G6" s="58"/>
      <c r="H6" s="11"/>
      <c r="I6" s="11"/>
      <c r="J6" s="11"/>
      <c r="K6" s="11"/>
    </row>
    <row r="8" spans="2:11" x14ac:dyDescent="0.25">
      <c r="B8" s="101" t="s">
        <v>224</v>
      </c>
      <c r="C8" s="102"/>
      <c r="D8" s="102"/>
      <c r="E8" s="102"/>
      <c r="F8" s="102"/>
      <c r="G8" s="103">
        <f>'Data Sheet'!F$16</f>
        <v>43921</v>
      </c>
      <c r="H8" s="103">
        <f>'Data Sheet'!G$16</f>
        <v>44286</v>
      </c>
      <c r="I8" s="103">
        <f>'Data Sheet'!H$16</f>
        <v>44651</v>
      </c>
      <c r="J8" s="103">
        <f>'Data Sheet'!I$16</f>
        <v>45016</v>
      </c>
      <c r="K8" s="103">
        <f>'Data Sheet'!J$16</f>
        <v>45382</v>
      </c>
    </row>
    <row r="10" spans="2:11" x14ac:dyDescent="0.25">
      <c r="B10" s="35" t="s">
        <v>254</v>
      </c>
      <c r="C10" s="36"/>
      <c r="D10" s="36"/>
      <c r="E10" s="36"/>
      <c r="F10" s="36"/>
      <c r="G10" s="109"/>
      <c r="H10" s="109"/>
      <c r="I10" s="109"/>
      <c r="J10" s="109"/>
      <c r="K10" s="109"/>
    </row>
    <row r="11" spans="2:11" x14ac:dyDescent="0.25">
      <c r="B11" t="str">
        <f>'Raw FM'!C38</f>
        <v>Inventories</v>
      </c>
      <c r="G11" s="34">
        <f>'Raw FM'!J39</f>
        <v>19656</v>
      </c>
      <c r="H11" s="34">
        <f>'Raw FM'!K39</f>
        <v>19014</v>
      </c>
      <c r="I11" s="34">
        <f>'Raw FM'!L39</f>
        <v>23640</v>
      </c>
      <c r="J11" s="34">
        <f>'Raw FM'!M39</f>
        <v>28448</v>
      </c>
      <c r="K11" s="34">
        <f>'Raw FM'!N39</f>
        <v>31628</v>
      </c>
    </row>
    <row r="12" spans="2:11" x14ac:dyDescent="0.25">
      <c r="B12" t="str">
        <f>'Raw FM'!C39</f>
        <v>Trade receivables</v>
      </c>
      <c r="G12" s="34">
        <f>'Raw FM'!J40</f>
        <v>30920</v>
      </c>
      <c r="H12" s="34">
        <f>'Raw FM'!K40</f>
        <v>17397</v>
      </c>
      <c r="I12" s="34">
        <f>'Raw FM'!L40</f>
        <v>36178</v>
      </c>
      <c r="J12" s="34">
        <f>'Raw FM'!M40</f>
        <v>68664</v>
      </c>
      <c r="K12" s="34">
        <f>'Raw FM'!N40</f>
        <v>97225</v>
      </c>
    </row>
    <row r="13" spans="2:11" x14ac:dyDescent="0.25">
      <c r="B13" t="str">
        <f>'Raw FM'!C41</f>
        <v>Loans n Advances</v>
      </c>
      <c r="G13" s="34">
        <f>'Raw FM'!J42</f>
        <v>119336</v>
      </c>
      <c r="H13" s="34">
        <f>'Raw FM'!K42</f>
        <v>169878</v>
      </c>
      <c r="I13" s="34">
        <f>'Raw FM'!L42</f>
        <v>136328</v>
      </c>
      <c r="J13" s="34">
        <f>'Raw FM'!M42</f>
        <v>114469</v>
      </c>
      <c r="K13" s="34">
        <f>'Raw FM'!N42</f>
        <v>126396</v>
      </c>
    </row>
    <row r="14" spans="2:11" x14ac:dyDescent="0.25">
      <c r="B14" t="str">
        <f>'Raw FM'!C42</f>
        <v>Other asset items</v>
      </c>
      <c r="G14" s="34">
        <f>'Raw FM'!J43</f>
        <v>1163015</v>
      </c>
      <c r="H14" s="34">
        <f>'Raw FM'!K43</f>
        <v>1320065</v>
      </c>
      <c r="I14" s="34">
        <f>'Raw FM'!L43</f>
        <v>1498622</v>
      </c>
      <c r="J14" s="34">
        <f>'Raw FM'!M43</f>
        <v>1605882</v>
      </c>
      <c r="K14" s="34">
        <f>'Raw FM'!N43</f>
        <v>1755048</v>
      </c>
    </row>
    <row r="15" spans="2:11" ht="15.75" thickBot="1" x14ac:dyDescent="0.3">
      <c r="B15" s="40" t="s">
        <v>89</v>
      </c>
      <c r="C15" s="40"/>
      <c r="D15" s="40"/>
      <c r="E15" s="40"/>
      <c r="F15" s="40"/>
      <c r="G15" s="108">
        <f>SUM(G11:G14)</f>
        <v>1332927</v>
      </c>
      <c r="H15" s="108">
        <f>SUM(H11:H14)</f>
        <v>1526354</v>
      </c>
      <c r="I15" s="108">
        <f>SUM(I11:I14)</f>
        <v>1694768</v>
      </c>
      <c r="J15" s="108">
        <f>SUM(J11:J14)</f>
        <v>1817463</v>
      </c>
      <c r="K15" s="108">
        <f>SUM(K11:K14)</f>
        <v>2010297</v>
      </c>
    </row>
    <row r="16" spans="2:11" x14ac:dyDescent="0.25">
      <c r="B16" s="2"/>
      <c r="C16" s="2"/>
      <c r="D16" s="2"/>
      <c r="E16" s="2"/>
      <c r="F16" s="2"/>
      <c r="G16" s="104"/>
      <c r="H16" s="104"/>
      <c r="I16" s="104"/>
      <c r="J16" s="104"/>
      <c r="K16" s="104"/>
    </row>
    <row r="17" spans="1:11" x14ac:dyDescent="0.25">
      <c r="B17" s="113" t="s">
        <v>266</v>
      </c>
      <c r="C17" s="35"/>
      <c r="D17" s="35"/>
      <c r="E17" s="35"/>
      <c r="F17" s="35"/>
      <c r="G17" s="114"/>
      <c r="H17" s="114"/>
      <c r="I17" s="114"/>
      <c r="J17" s="114"/>
      <c r="K17" s="114"/>
    </row>
    <row r="18" spans="1:11" x14ac:dyDescent="0.25">
      <c r="B18" t="str">
        <f>'Raw FM'!C18</f>
        <v>Trade Payables</v>
      </c>
      <c r="C18" s="2"/>
      <c r="D18" s="2"/>
      <c r="E18" s="2"/>
      <c r="F18" s="2"/>
      <c r="G18" s="34">
        <f>'Raw FM'!J18</f>
        <v>96799</v>
      </c>
      <c r="H18" s="34">
        <f>'Raw FM'!K18</f>
        <v>108897</v>
      </c>
      <c r="I18" s="34">
        <f>'Raw FM'!L18</f>
        <v>159330</v>
      </c>
      <c r="J18" s="34">
        <f>'Raw FM'!M18</f>
        <v>147172</v>
      </c>
      <c r="K18" s="34">
        <f>'Raw FM'!N18</f>
        <v>178377</v>
      </c>
    </row>
    <row r="19" spans="1:11" x14ac:dyDescent="0.25">
      <c r="B19" t="str">
        <f>'Raw FM'!C19</f>
        <v>Other liability items</v>
      </c>
      <c r="C19" s="2"/>
      <c r="D19" s="2"/>
      <c r="E19" s="2"/>
      <c r="F19" s="2"/>
      <c r="G19" s="34">
        <f>'Raw FM'!J19</f>
        <v>249736</v>
      </c>
      <c r="H19" s="34">
        <f>'Raw FM'!K19</f>
        <v>132774</v>
      </c>
      <c r="I19" s="34">
        <f>'Raw FM'!L19</f>
        <v>131150</v>
      </c>
      <c r="J19" s="34">
        <f>'Raw FM'!M19</f>
        <v>178165</v>
      </c>
      <c r="K19" s="34">
        <f>'Raw FM'!N19</f>
        <v>191892</v>
      </c>
    </row>
    <row r="20" spans="1:11" ht="15.75" thickBot="1" x14ac:dyDescent="0.3">
      <c r="B20" s="40" t="s">
        <v>267</v>
      </c>
      <c r="C20" s="40"/>
      <c r="D20" s="40"/>
      <c r="E20" s="40"/>
      <c r="F20" s="40"/>
      <c r="G20" s="108">
        <f>SUM(G18:G19)</f>
        <v>346535</v>
      </c>
      <c r="H20" s="108">
        <f t="shared" ref="H20:K20" si="0">SUM(H18:H19)</f>
        <v>241671</v>
      </c>
      <c r="I20" s="108">
        <f t="shared" si="0"/>
        <v>290480</v>
      </c>
      <c r="J20" s="108">
        <f t="shared" si="0"/>
        <v>325337</v>
      </c>
      <c r="K20" s="108">
        <f t="shared" si="0"/>
        <v>370269</v>
      </c>
    </row>
    <row r="21" spans="1:11" x14ac:dyDescent="0.25">
      <c r="B21" s="2"/>
      <c r="C21" s="2"/>
      <c r="D21" s="2"/>
      <c r="E21" s="2"/>
      <c r="F21" s="2"/>
      <c r="G21" s="104"/>
      <c r="H21" s="104"/>
      <c r="I21" s="104"/>
      <c r="J21" s="104"/>
      <c r="K21" s="104"/>
    </row>
    <row r="22" spans="1:11" ht="15.75" thickBot="1" x14ac:dyDescent="0.3">
      <c r="A22" t="s">
        <v>66</v>
      </c>
      <c r="B22" s="40" t="s">
        <v>268</v>
      </c>
      <c r="C22" s="40"/>
      <c r="D22" s="40"/>
      <c r="E22" s="40"/>
      <c r="F22" s="40"/>
      <c r="G22" s="108">
        <f>G15-G20</f>
        <v>986392</v>
      </c>
      <c r="H22" s="108">
        <f t="shared" ref="H22:K22" si="1">H15-H20</f>
        <v>1284683</v>
      </c>
      <c r="I22" s="108">
        <f t="shared" si="1"/>
        <v>1404288</v>
      </c>
      <c r="J22" s="108">
        <f t="shared" si="1"/>
        <v>1492126</v>
      </c>
      <c r="K22" s="108">
        <f t="shared" si="1"/>
        <v>1640028</v>
      </c>
    </row>
    <row r="23" spans="1:11" x14ac:dyDescent="0.25">
      <c r="B23" s="2"/>
      <c r="C23" s="2"/>
      <c r="D23" s="2"/>
      <c r="E23" s="2"/>
      <c r="F23" s="2"/>
      <c r="G23" s="104"/>
      <c r="H23" s="104"/>
      <c r="I23" s="104"/>
      <c r="J23" s="104"/>
      <c r="K23" s="104"/>
    </row>
    <row r="24" spans="1:11" x14ac:dyDescent="0.25">
      <c r="B24" s="35" t="s">
        <v>255</v>
      </c>
      <c r="C24" s="36"/>
      <c r="D24" s="36"/>
      <c r="E24" s="36"/>
      <c r="F24" s="36"/>
      <c r="G24" s="36"/>
      <c r="H24" s="36"/>
      <c r="I24" s="36"/>
      <c r="J24" s="36"/>
      <c r="K24" s="36"/>
    </row>
    <row r="25" spans="1:11" x14ac:dyDescent="0.25">
      <c r="B25" t="str">
        <f>'Raw FM'!C23</f>
        <v>Land</v>
      </c>
      <c r="G25" s="34">
        <f>'Raw FM'!J23</f>
        <v>68743</v>
      </c>
      <c r="H25" s="34">
        <f>'Raw FM'!K23</f>
        <v>68768</v>
      </c>
      <c r="I25" s="34">
        <f>'Raw FM'!L23</f>
        <v>69855</v>
      </c>
      <c r="J25" s="34">
        <f>'Raw FM'!M23</f>
        <v>79697</v>
      </c>
      <c r="K25" s="34">
        <f>'Raw FM'!N23</f>
        <v>87287</v>
      </c>
    </row>
    <row r="26" spans="1:11" x14ac:dyDescent="0.25">
      <c r="B26" t="str">
        <f>'Raw FM'!C24</f>
        <v>Building</v>
      </c>
      <c r="G26" s="34">
        <f>'Raw FM'!J24</f>
        <v>34380</v>
      </c>
      <c r="H26" s="34">
        <f>'Raw FM'!K24</f>
        <v>36781</v>
      </c>
      <c r="I26" s="34">
        <f>'Raw FM'!L24</f>
        <v>47561</v>
      </c>
      <c r="J26" s="34">
        <f>'Raw FM'!M24</f>
        <v>69747</v>
      </c>
      <c r="K26" s="34">
        <f>'Raw FM'!N24</f>
        <v>82062</v>
      </c>
    </row>
    <row r="27" spans="1:11" x14ac:dyDescent="0.25">
      <c r="B27" t="str">
        <f>'Raw FM'!C25</f>
        <v>Plant Machinery</v>
      </c>
      <c r="G27" s="34">
        <f>'Raw FM'!J25</f>
        <v>449770</v>
      </c>
      <c r="H27" s="34">
        <f>'Raw FM'!K25</f>
        <v>471201</v>
      </c>
      <c r="I27" s="34">
        <f>'Raw FM'!L25</f>
        <v>518865</v>
      </c>
      <c r="J27" s="34">
        <f>'Raw FM'!M25</f>
        <v>557687</v>
      </c>
      <c r="K27" s="34">
        <f>'Raw FM'!N25</f>
        <v>579067</v>
      </c>
    </row>
    <row r="28" spans="1:11" x14ac:dyDescent="0.25">
      <c r="B28" t="str">
        <f>'Raw FM'!C26</f>
        <v>Ships Vessels</v>
      </c>
      <c r="G28" s="34">
        <f>'Raw FM'!J26</f>
        <v>502</v>
      </c>
      <c r="H28" s="34">
        <f>'Raw FM'!K26</f>
        <v>515</v>
      </c>
      <c r="I28" s="34">
        <f>'Raw FM'!L26</f>
        <v>508</v>
      </c>
      <c r="J28" s="34">
        <f>'Raw FM'!M26</f>
        <v>518</v>
      </c>
      <c r="K28" s="34">
        <f>'Raw FM'!N26</f>
        <v>522</v>
      </c>
    </row>
    <row r="29" spans="1:11" x14ac:dyDescent="0.25">
      <c r="B29" t="str">
        <f>'Raw FM'!C27</f>
        <v>Equipments</v>
      </c>
      <c r="G29" s="34">
        <f>'Raw FM'!J27</f>
        <v>0</v>
      </c>
      <c r="H29" s="34">
        <f>'Raw FM'!K27</f>
        <v>0</v>
      </c>
      <c r="I29" s="34">
        <f>'Raw FM'!L27</f>
        <v>32638</v>
      </c>
      <c r="J29" s="34">
        <f>'Raw FM'!M27</f>
        <v>45067</v>
      </c>
      <c r="K29" s="34">
        <f>'Raw FM'!N27</f>
        <v>59936</v>
      </c>
    </row>
    <row r="30" spans="1:11" x14ac:dyDescent="0.25">
      <c r="B30" t="str">
        <f>'Raw FM'!C28</f>
        <v>Furniture n fittings</v>
      </c>
      <c r="G30" s="34">
        <f>'Raw FM'!J28</f>
        <v>31211</v>
      </c>
      <c r="H30" s="34">
        <f>'Raw FM'!K28</f>
        <v>38039</v>
      </c>
      <c r="I30" s="34">
        <f>'Raw FM'!L28</f>
        <v>24970</v>
      </c>
      <c r="J30" s="34">
        <f>'Raw FM'!M28</f>
        <v>38161</v>
      </c>
      <c r="K30" s="34">
        <f>'Raw FM'!N28</f>
        <v>43458</v>
      </c>
    </row>
    <row r="31" spans="1:11" x14ac:dyDescent="0.25">
      <c r="B31" t="str">
        <f>'Raw FM'!C29</f>
        <v>Vehicles</v>
      </c>
      <c r="G31" s="34">
        <f>'Raw FM'!J29</f>
        <v>1411</v>
      </c>
      <c r="H31" s="34">
        <f>'Raw FM'!K29</f>
        <v>2336</v>
      </c>
      <c r="I31" s="34">
        <f>'Raw FM'!L29</f>
        <v>2530</v>
      </c>
      <c r="J31" s="34">
        <f>'Raw FM'!M29</f>
        <v>3667</v>
      </c>
      <c r="K31" s="34">
        <f>'Raw FM'!N29</f>
        <v>3745</v>
      </c>
    </row>
    <row r="32" spans="1:11" x14ac:dyDescent="0.25">
      <c r="B32" t="str">
        <f>'Raw FM'!C30</f>
        <v>Intangible Assets</v>
      </c>
      <c r="G32" s="34">
        <f>'Raw FM'!J30</f>
        <v>81462</v>
      </c>
      <c r="H32" s="34">
        <f>'Raw FM'!K30</f>
        <v>77353</v>
      </c>
      <c r="I32" s="34">
        <f>'Raw FM'!L30</f>
        <v>65970</v>
      </c>
      <c r="J32" s="34">
        <f>'Raw FM'!M30</f>
        <v>85032</v>
      </c>
      <c r="K32" s="34">
        <f>'Raw FM'!N30</f>
        <v>103453</v>
      </c>
    </row>
    <row r="33" spans="2:11" x14ac:dyDescent="0.25">
      <c r="B33" t="str">
        <f>'Raw FM'!C31</f>
        <v>Other fixed assets</v>
      </c>
      <c r="G33" s="34">
        <f>'Raw FM'!J31</f>
        <v>76299</v>
      </c>
      <c r="H33" s="34">
        <f>'Raw FM'!K31</f>
        <v>80819</v>
      </c>
      <c r="I33" s="34">
        <f>'Raw FM'!L31</f>
        <v>120717</v>
      </c>
      <c r="J33" s="34">
        <f>'Raw FM'!M31</f>
        <v>138426</v>
      </c>
      <c r="K33" s="34">
        <f>'Raw FM'!N31</f>
        <v>155052</v>
      </c>
    </row>
    <row r="34" spans="2:11" x14ac:dyDescent="0.25">
      <c r="B34" s="105" t="str">
        <f>'Raw FM'!C32</f>
        <v>Gross Block</v>
      </c>
      <c r="C34" s="105"/>
      <c r="D34" s="105"/>
      <c r="E34" s="105"/>
      <c r="F34" s="105"/>
      <c r="G34" s="106">
        <f>SUM(G25:G33)</f>
        <v>743778</v>
      </c>
      <c r="H34" s="106">
        <f t="shared" ref="H34:K34" si="2">SUM(H25:H33)</f>
        <v>775812</v>
      </c>
      <c r="I34" s="106">
        <f t="shared" si="2"/>
        <v>883614</v>
      </c>
      <c r="J34" s="106">
        <f t="shared" si="2"/>
        <v>1018002</v>
      </c>
      <c r="K34" s="106">
        <f t="shared" si="2"/>
        <v>1114582</v>
      </c>
    </row>
    <row r="35" spans="2:11" x14ac:dyDescent="0.25">
      <c r="B35" s="68" t="str">
        <f>'Raw FM'!C33</f>
        <v>Accumulated Depreciation</v>
      </c>
      <c r="C35" s="68"/>
      <c r="D35" s="68"/>
      <c r="E35" s="68"/>
      <c r="F35" s="68"/>
      <c r="G35" s="128">
        <f>-'Raw FM'!J33</f>
        <v>-211120</v>
      </c>
      <c r="H35" s="128">
        <f>-'Raw FM'!K33</f>
        <v>-234554</v>
      </c>
      <c r="I35" s="128">
        <f>-'Raw FM'!L33</f>
        <v>-255816</v>
      </c>
      <c r="J35" s="128">
        <f>-'Raw FM'!M33</f>
        <v>-293197</v>
      </c>
      <c r="K35" s="128">
        <f>-'Raw FM'!N33</f>
        <v>-334597</v>
      </c>
    </row>
    <row r="36" spans="2:11" ht="15.75" thickBot="1" x14ac:dyDescent="0.3">
      <c r="B36" s="40" t="s">
        <v>256</v>
      </c>
      <c r="C36" s="40"/>
      <c r="D36" s="40"/>
      <c r="E36" s="40"/>
      <c r="F36" s="40"/>
      <c r="G36" s="108">
        <f>SUM(G34:G35)</f>
        <v>532658</v>
      </c>
      <c r="H36" s="108">
        <f t="shared" ref="H36:K36" si="3">SUM(H34:H35)</f>
        <v>541258</v>
      </c>
      <c r="I36" s="108">
        <f t="shared" si="3"/>
        <v>627798</v>
      </c>
      <c r="J36" s="108">
        <f t="shared" si="3"/>
        <v>724805</v>
      </c>
      <c r="K36" s="108">
        <f t="shared" si="3"/>
        <v>779985</v>
      </c>
    </row>
    <row r="38" spans="2:11" x14ac:dyDescent="0.25">
      <c r="B38" s="27" t="s">
        <v>257</v>
      </c>
      <c r="C38" s="27"/>
      <c r="D38" s="27"/>
      <c r="E38" s="27"/>
      <c r="F38" s="27"/>
      <c r="G38" s="126">
        <f>G36+G22</f>
        <v>1519050</v>
      </c>
      <c r="H38" s="126">
        <f t="shared" ref="H38:K38" si="4">H36+H22</f>
        <v>1825941</v>
      </c>
      <c r="I38" s="126">
        <f t="shared" si="4"/>
        <v>2032086</v>
      </c>
      <c r="J38" s="126">
        <f t="shared" si="4"/>
        <v>2216931</v>
      </c>
      <c r="K38" s="126">
        <f t="shared" si="4"/>
        <v>2420013</v>
      </c>
    </row>
    <row r="39" spans="2:11" ht="15.75" thickBot="1" x14ac:dyDescent="0.3">
      <c r="B39" s="127" t="s">
        <v>222</v>
      </c>
      <c r="C39" s="127"/>
      <c r="D39" s="127"/>
      <c r="E39" s="127"/>
      <c r="F39" s="127"/>
      <c r="G39" s="127">
        <f>'Historical Financial Statement'!H24-'Historical Financial Statement'!H30</f>
        <v>71042</v>
      </c>
      <c r="H39" s="127">
        <f>'Historical Financial Statement'!I24-'Historical Financial Statement'!I30</f>
        <v>50907</v>
      </c>
      <c r="I39" s="127">
        <f>'Historical Financial Statement'!J24-'Historical Financial Statement'!J30</f>
        <v>54643</v>
      </c>
      <c r="J39" s="127">
        <f>'Historical Financial Statement'!K24-'Historical Financial Statement'!K30</f>
        <v>66361</v>
      </c>
      <c r="K39" s="127">
        <f>'Historical Financial Statement'!L24-'Historical Financial Statement'!L30</f>
        <v>127579</v>
      </c>
    </row>
    <row r="41" spans="2:11" ht="15.75" thickBot="1" x14ac:dyDescent="0.3">
      <c r="B41" s="40" t="s">
        <v>258</v>
      </c>
      <c r="C41" s="40"/>
      <c r="D41" s="40"/>
      <c r="E41" s="40"/>
      <c r="F41" s="40"/>
      <c r="G41" s="112">
        <f>G39/G38</f>
        <v>4.6767387511931796E-2</v>
      </c>
      <c r="H41" s="112">
        <f t="shared" ref="H41:K41" si="5">H39/H38</f>
        <v>2.7879871255423915E-2</v>
      </c>
      <c r="I41" s="112">
        <f t="shared" si="5"/>
        <v>2.6890102092135864E-2</v>
      </c>
      <c r="J41" s="112">
        <f t="shared" si="5"/>
        <v>2.9933723692798737E-2</v>
      </c>
      <c r="K41" s="112">
        <f t="shared" si="5"/>
        <v>5.2718311843779349E-2</v>
      </c>
    </row>
    <row r="44" spans="2:11" x14ac:dyDescent="0.25">
      <c r="B44" s="101" t="s">
        <v>259</v>
      </c>
      <c r="C44" s="102"/>
      <c r="D44" s="102"/>
      <c r="E44" s="102"/>
      <c r="F44" s="102"/>
      <c r="G44" s="103">
        <f>G8</f>
        <v>43921</v>
      </c>
      <c r="H44" s="103">
        <f>H8</f>
        <v>44286</v>
      </c>
      <c r="I44" s="103">
        <f>I8</f>
        <v>44651</v>
      </c>
      <c r="J44" s="103">
        <f>J8</f>
        <v>45016</v>
      </c>
      <c r="K44" s="103">
        <f>K8</f>
        <v>45382</v>
      </c>
    </row>
    <row r="46" spans="2:11" x14ac:dyDescent="0.25">
      <c r="B46" s="115" t="s">
        <v>260</v>
      </c>
      <c r="C46" s="115"/>
      <c r="D46" s="115"/>
      <c r="E46" s="115"/>
      <c r="F46" s="115"/>
      <c r="G46" s="116">
        <f>-SUM('cash Flow'!I12:I13)</f>
        <v>-8681</v>
      </c>
      <c r="H46" s="116">
        <f>-SUM('cash Flow'!J12:J13)</f>
        <v>20608</v>
      </c>
      <c r="I46" s="116">
        <f>-SUM('cash Flow'!K12:K13)</f>
        <v>18119</v>
      </c>
      <c r="J46" s="116">
        <f>-SUM('cash Flow'!L12:L13)</f>
        <v>29178</v>
      </c>
      <c r="K46" s="116">
        <f>-SUM('cash Flow'!M12:M13)</f>
        <v>34196</v>
      </c>
    </row>
    <row r="47" spans="2:11" x14ac:dyDescent="0.25">
      <c r="B47" s="117" t="s">
        <v>261</v>
      </c>
      <c r="C47" s="117"/>
      <c r="D47" s="117"/>
      <c r="E47" s="117"/>
      <c r="F47" s="117"/>
      <c r="G47" s="117"/>
      <c r="H47" s="118">
        <f>H22-G22</f>
        <v>298291</v>
      </c>
      <c r="I47" s="118">
        <f t="shared" ref="I47:K47" si="6">I22-H22</f>
        <v>119605</v>
      </c>
      <c r="J47" s="118">
        <f t="shared" si="6"/>
        <v>87838</v>
      </c>
      <c r="K47" s="118">
        <f t="shared" si="6"/>
        <v>147902</v>
      </c>
    </row>
    <row r="49" spans="2:11" x14ac:dyDescent="0.25">
      <c r="B49" s="115" t="s">
        <v>222</v>
      </c>
      <c r="C49" s="115"/>
      <c r="D49" s="115"/>
      <c r="E49" s="115"/>
      <c r="F49" s="115"/>
      <c r="G49" s="115">
        <f>G39</f>
        <v>71042</v>
      </c>
      <c r="H49" s="115">
        <f t="shared" ref="H49:K49" si="7">H39</f>
        <v>50907</v>
      </c>
      <c r="I49" s="115">
        <f t="shared" si="7"/>
        <v>54643</v>
      </c>
      <c r="J49" s="115">
        <f t="shared" si="7"/>
        <v>66361</v>
      </c>
      <c r="K49" s="115">
        <f t="shared" si="7"/>
        <v>127579</v>
      </c>
    </row>
    <row r="50" spans="2:11" x14ac:dyDescent="0.25">
      <c r="B50" s="115" t="s">
        <v>262</v>
      </c>
      <c r="C50" s="115"/>
      <c r="D50" s="115"/>
      <c r="E50" s="115"/>
      <c r="F50" s="115"/>
      <c r="G50" s="341">
        <v>0.25</v>
      </c>
      <c r="H50" s="119">
        <f>G50</f>
        <v>0.25</v>
      </c>
      <c r="I50" s="119">
        <f t="shared" ref="I50:K50" si="8">H50</f>
        <v>0.25</v>
      </c>
      <c r="J50" s="119">
        <f t="shared" si="8"/>
        <v>0.25</v>
      </c>
      <c r="K50" s="119">
        <f t="shared" si="8"/>
        <v>0.25</v>
      </c>
    </row>
    <row r="51" spans="2:11" x14ac:dyDescent="0.25">
      <c r="B51" s="117" t="s">
        <v>263</v>
      </c>
      <c r="C51" s="117"/>
      <c r="D51" s="117"/>
      <c r="E51" s="117"/>
      <c r="F51" s="117"/>
      <c r="G51" s="117">
        <f>G49*(1-G50)</f>
        <v>53281.5</v>
      </c>
      <c r="H51" s="117">
        <f t="shared" ref="H51:K51" si="9">H49*(1-H50)</f>
        <v>38180.25</v>
      </c>
      <c r="I51" s="117">
        <f t="shared" si="9"/>
        <v>40982.25</v>
      </c>
      <c r="J51" s="117">
        <f t="shared" si="9"/>
        <v>49770.75</v>
      </c>
      <c r="K51" s="117">
        <f t="shared" si="9"/>
        <v>95684.25</v>
      </c>
    </row>
    <row r="53" spans="2:11" x14ac:dyDescent="0.25">
      <c r="B53" s="117" t="s">
        <v>264</v>
      </c>
      <c r="C53" s="117"/>
      <c r="D53" s="117"/>
      <c r="E53" s="117"/>
      <c r="F53" s="117"/>
      <c r="G53" s="117"/>
      <c r="H53" s="118">
        <f>SUM(H46:H47)</f>
        <v>318899</v>
      </c>
      <c r="I53" s="118">
        <f t="shared" ref="I53:K53" si="10">SUM(I46:I47)</f>
        <v>137724</v>
      </c>
      <c r="J53" s="118">
        <f t="shared" si="10"/>
        <v>117016</v>
      </c>
      <c r="K53" s="118">
        <f t="shared" si="10"/>
        <v>182098</v>
      </c>
    </row>
    <row r="55" spans="2:11" ht="15.75" thickBot="1" x14ac:dyDescent="0.3">
      <c r="B55" s="40" t="s">
        <v>265</v>
      </c>
      <c r="C55" s="40"/>
      <c r="D55" s="40"/>
      <c r="E55" s="40"/>
      <c r="F55" s="40"/>
      <c r="G55" s="40"/>
      <c r="H55" s="120">
        <f>H51/H53</f>
        <v>0.11972521080342052</v>
      </c>
      <c r="I55" s="120">
        <f t="shared" ref="I55:K55" si="11">I51/I53</f>
        <v>0.29756796201097846</v>
      </c>
      <c r="J55" s="120">
        <f t="shared" si="11"/>
        <v>0.42533286046352636</v>
      </c>
      <c r="K55" s="120">
        <f t="shared" si="11"/>
        <v>0.52545470021636698</v>
      </c>
    </row>
    <row r="57" spans="2:11" x14ac:dyDescent="0.25">
      <c r="I57" s="121" t="s">
        <v>269</v>
      </c>
      <c r="J57" s="121"/>
      <c r="K57" s="122">
        <f>AVERAGE(H55:K55)</f>
        <v>0.34202018337357309</v>
      </c>
    </row>
    <row r="58" spans="2:11" x14ac:dyDescent="0.25">
      <c r="I58" s="121" t="s">
        <v>270</v>
      </c>
      <c r="J58" s="121"/>
      <c r="K58" s="122">
        <f>MEDIAN(H55:K55)</f>
        <v>0.36145041123725241</v>
      </c>
    </row>
    <row r="61" spans="2:11" x14ac:dyDescent="0.25">
      <c r="B61" s="101" t="s">
        <v>271</v>
      </c>
      <c r="C61" s="102"/>
      <c r="D61" s="102"/>
      <c r="E61" s="102"/>
      <c r="F61" s="102"/>
      <c r="G61" s="103">
        <f>G44</f>
        <v>43921</v>
      </c>
      <c r="H61" s="103">
        <f t="shared" ref="H61:K61" si="12">H44</f>
        <v>44286</v>
      </c>
      <c r="I61" s="103">
        <f t="shared" si="12"/>
        <v>44651</v>
      </c>
      <c r="J61" s="103">
        <f t="shared" si="12"/>
        <v>45016</v>
      </c>
      <c r="K61" s="103">
        <f t="shared" si="12"/>
        <v>45382</v>
      </c>
    </row>
    <row r="63" spans="2:11" ht="15.75" customHeight="1" x14ac:dyDescent="0.25">
      <c r="B63" s="123" t="s">
        <v>265</v>
      </c>
      <c r="C63" s="123"/>
      <c r="D63" s="123"/>
      <c r="E63" s="123"/>
      <c r="F63" s="123"/>
      <c r="G63" s="123"/>
      <c r="H63" s="124">
        <f>H55</f>
        <v>0.11972521080342052</v>
      </c>
      <c r="I63" s="124">
        <f t="shared" ref="I63:K63" si="13">I55</f>
        <v>0.29756796201097846</v>
      </c>
      <c r="J63" s="124">
        <f t="shared" si="13"/>
        <v>0.42533286046352636</v>
      </c>
      <c r="K63" s="124">
        <f t="shared" si="13"/>
        <v>0.52545470021636698</v>
      </c>
    </row>
    <row r="64" spans="2:11" x14ac:dyDescent="0.25">
      <c r="B64" s="68" t="s">
        <v>258</v>
      </c>
      <c r="C64" s="68"/>
      <c r="D64" s="68"/>
      <c r="E64" s="68"/>
      <c r="F64" s="68"/>
      <c r="G64" s="68"/>
      <c r="H64" s="72">
        <f>H41</f>
        <v>2.7879871255423915E-2</v>
      </c>
      <c r="I64" s="72">
        <f t="shared" ref="I64:K64" si="14">I41</f>
        <v>2.6890102092135864E-2</v>
      </c>
      <c r="J64" s="72">
        <f t="shared" si="14"/>
        <v>2.9933723692798737E-2</v>
      </c>
      <c r="K64" s="72">
        <f t="shared" si="14"/>
        <v>5.2718311843779349E-2</v>
      </c>
    </row>
    <row r="65" spans="2:11" ht="4.5" customHeight="1" x14ac:dyDescent="0.25"/>
    <row r="66" spans="2:11" ht="15.75" thickBot="1" x14ac:dyDescent="0.3">
      <c r="B66" s="107" t="s">
        <v>272</v>
      </c>
      <c r="C66" s="107"/>
      <c r="D66" s="107"/>
      <c r="E66" s="107"/>
      <c r="F66" s="107"/>
      <c r="G66" s="107"/>
      <c r="H66" s="125">
        <f>H63*H64</f>
        <v>3.3379234632278528E-3</v>
      </c>
      <c r="I66" s="125">
        <f t="shared" ref="I66:K66" si="15">I63*I64</f>
        <v>8.0016328778240164E-3</v>
      </c>
      <c r="J66" s="125">
        <f t="shared" si="15"/>
        <v>1.2731796322582919E-2</v>
      </c>
      <c r="K66" s="125">
        <f t="shared" si="15"/>
        <v>2.7701084745786028E-2</v>
      </c>
    </row>
    <row r="68" spans="2:11" x14ac:dyDescent="0.25">
      <c r="I68" s="121" t="s">
        <v>269</v>
      </c>
      <c r="J68" s="121"/>
      <c r="K68" s="122">
        <f>AVERAGE(H66:K66)</f>
        <v>1.2943109352355205E-2</v>
      </c>
    </row>
    <row r="69" spans="2:11" x14ac:dyDescent="0.25">
      <c r="I69" s="121" t="s">
        <v>270</v>
      </c>
      <c r="J69" s="121"/>
      <c r="K69" s="122">
        <f>MEDIAN(H66:K66)</f>
        <v>1.0366714600203468E-2</v>
      </c>
    </row>
    <row r="71" spans="2:11" x14ac:dyDescent="0.25">
      <c r="B71" s="102"/>
      <c r="C71" s="102"/>
      <c r="D71" s="102"/>
      <c r="E71" s="102"/>
      <c r="F71" s="102"/>
      <c r="G71" s="102"/>
      <c r="H71" s="102"/>
      <c r="I71" s="102"/>
      <c r="J71" s="102"/>
      <c r="K71" s="102"/>
    </row>
    <row r="75" spans="2:11" x14ac:dyDescent="0.25">
      <c r="B75" s="272" t="s">
        <v>731</v>
      </c>
      <c r="K75" s="273" t="s">
        <v>734</v>
      </c>
    </row>
    <row r="76" spans="2:11" x14ac:dyDescent="0.25">
      <c r="B76" s="272" t="s">
        <v>733</v>
      </c>
      <c r="K76" s="273" t="s">
        <v>735</v>
      </c>
    </row>
  </sheetData>
  <mergeCells count="2">
    <mergeCell ref="B6:F6"/>
    <mergeCell ref="B1:F5"/>
  </mergeCells>
  <pageMargins left="0.7" right="0.7" top="0.75" bottom="0.75" header="0.3" footer="0.3"/>
  <pageSetup scale="57" orientation="portrait" r:id="rId1"/>
  <ignoredErrors>
    <ignoredError sqref="G46 H46:K46"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5F2CD-7B6A-40B4-9A7C-72A90D609AD0}">
  <sheetPr>
    <pageSetUpPr fitToPage="1"/>
  </sheetPr>
  <dimension ref="B1:L56"/>
  <sheetViews>
    <sheetView showGridLines="0" view="pageBreakPreview" zoomScale="60" zoomScaleNormal="70" workbookViewId="0">
      <selection activeCell="H5" sqref="H5"/>
    </sheetView>
  </sheetViews>
  <sheetFormatPr defaultRowHeight="15" x14ac:dyDescent="0.25"/>
  <cols>
    <col min="1" max="1" width="2.28515625" customWidth="1"/>
    <col min="5" max="5" width="10.7109375" bestFit="1" customWidth="1"/>
    <col min="6" max="6" width="11.28515625" bestFit="1" customWidth="1"/>
    <col min="7" max="7" width="14.5703125" bestFit="1" customWidth="1"/>
    <col min="8" max="11" width="13.5703125" bestFit="1" customWidth="1"/>
  </cols>
  <sheetData>
    <row r="1" spans="2:11" x14ac:dyDescent="0.25">
      <c r="B1" s="315" t="str">
        <f>'Data Sheet'!B1</f>
        <v>RELIANCE INDUSTRIES LTD</v>
      </c>
      <c r="C1" s="315"/>
      <c r="D1" s="315"/>
      <c r="E1" s="315"/>
      <c r="F1" s="315"/>
      <c r="G1" s="11"/>
      <c r="H1" s="11"/>
      <c r="I1" s="11"/>
      <c r="J1" s="11"/>
      <c r="K1" s="11"/>
    </row>
    <row r="2" spans="2:11" x14ac:dyDescent="0.25">
      <c r="B2" s="315"/>
      <c r="C2" s="315"/>
      <c r="D2" s="315"/>
      <c r="E2" s="315"/>
      <c r="F2" s="315"/>
      <c r="G2" s="11"/>
      <c r="H2" s="11"/>
      <c r="I2" s="11"/>
      <c r="J2" s="11"/>
      <c r="K2" s="11"/>
    </row>
    <row r="3" spans="2:11" x14ac:dyDescent="0.25">
      <c r="B3" s="315"/>
      <c r="C3" s="315"/>
      <c r="D3" s="315"/>
      <c r="E3" s="315"/>
      <c r="F3" s="315"/>
      <c r="G3" s="11"/>
      <c r="H3" s="11"/>
      <c r="I3" s="11"/>
      <c r="J3" s="11"/>
      <c r="K3" s="11"/>
    </row>
    <row r="4" spans="2:11" ht="21" x14ac:dyDescent="0.25">
      <c r="B4" s="315"/>
      <c r="C4" s="315"/>
      <c r="D4" s="315"/>
      <c r="E4" s="315"/>
      <c r="F4" s="315"/>
      <c r="G4" s="57"/>
      <c r="H4" s="11"/>
      <c r="I4" s="11"/>
      <c r="J4" s="11"/>
      <c r="K4" s="11"/>
    </row>
    <row r="5" spans="2:11" ht="21" x14ac:dyDescent="0.25">
      <c r="B5" s="315"/>
      <c r="C5" s="315"/>
      <c r="D5" s="315"/>
      <c r="E5" s="315"/>
      <c r="F5" s="315"/>
      <c r="G5" s="57"/>
      <c r="H5" s="11"/>
      <c r="I5" s="11"/>
      <c r="J5" s="11"/>
      <c r="K5" s="11"/>
    </row>
    <row r="6" spans="2:11" ht="15.75" x14ac:dyDescent="0.25">
      <c r="B6" s="314" t="s">
        <v>63</v>
      </c>
      <c r="C6" s="314"/>
      <c r="D6" s="314"/>
      <c r="E6" s="314"/>
      <c r="F6" s="314"/>
      <c r="G6" s="58"/>
      <c r="H6" s="11"/>
      <c r="I6" s="11"/>
      <c r="J6" s="11"/>
      <c r="K6" s="11"/>
    </row>
    <row r="8" spans="2:11" x14ac:dyDescent="0.25">
      <c r="F8">
        <v>0</v>
      </c>
      <c r="G8">
        <v>0.5</v>
      </c>
      <c r="H8">
        <v>1.5</v>
      </c>
      <c r="I8">
        <v>2.5</v>
      </c>
      <c r="J8">
        <v>3.5</v>
      </c>
      <c r="K8">
        <v>4.5</v>
      </c>
    </row>
    <row r="9" spans="2:11" ht="15" customHeight="1" x14ac:dyDescent="0.25">
      <c r="B9" s="322" t="s">
        <v>221</v>
      </c>
      <c r="C9" s="322"/>
      <c r="D9" s="322"/>
      <c r="E9" s="322"/>
      <c r="F9" s="99">
        <f>'Data Sheet'!J16</f>
        <v>45382</v>
      </c>
      <c r="G9" s="100">
        <f>F9+365</f>
        <v>45747</v>
      </c>
      <c r="H9" s="100">
        <f t="shared" ref="H9:K9" si="0">G9+365</f>
        <v>46112</v>
      </c>
      <c r="I9" s="100">
        <f t="shared" si="0"/>
        <v>46477</v>
      </c>
      <c r="J9" s="100">
        <f t="shared" si="0"/>
        <v>46842</v>
      </c>
      <c r="K9" s="100">
        <f t="shared" si="0"/>
        <v>47207</v>
      </c>
    </row>
    <row r="11" spans="2:11" x14ac:dyDescent="0.25">
      <c r="B11" s="129" t="s">
        <v>222</v>
      </c>
      <c r="C11" s="129"/>
      <c r="D11" s="129"/>
      <c r="E11" s="129"/>
      <c r="F11" s="130">
        <f>'Historical Financial Statement'!L33+'Historical Financial Statement'!L27</f>
        <v>127579</v>
      </c>
      <c r="G11" s="131">
        <f>F11*(1+$E$20)</f>
        <v>132605.61260000002</v>
      </c>
      <c r="H11" s="131">
        <f t="shared" ref="H11:K11" si="1">G11*(1+$E$20)</f>
        <v>137830.27373644002</v>
      </c>
      <c r="I11" s="131">
        <f t="shared" si="1"/>
        <v>143260.78652165577</v>
      </c>
      <c r="J11" s="131">
        <f t="shared" si="1"/>
        <v>148905.26151060901</v>
      </c>
      <c r="K11" s="131">
        <f t="shared" si="1"/>
        <v>154772.12881412701</v>
      </c>
    </row>
    <row r="12" spans="2:11" x14ac:dyDescent="0.25">
      <c r="B12" s="24" t="s">
        <v>77</v>
      </c>
      <c r="C12" s="24"/>
      <c r="D12" s="24"/>
      <c r="E12" s="24"/>
      <c r="F12" s="132">
        <v>0.25</v>
      </c>
      <c r="G12" s="133">
        <f>F12</f>
        <v>0.25</v>
      </c>
      <c r="H12" s="133">
        <f t="shared" ref="H12:K12" si="2">G12</f>
        <v>0.25</v>
      </c>
      <c r="I12" s="133">
        <f t="shared" si="2"/>
        <v>0.25</v>
      </c>
      <c r="J12" s="133">
        <f t="shared" si="2"/>
        <v>0.25</v>
      </c>
      <c r="K12" s="133">
        <f t="shared" si="2"/>
        <v>0.25</v>
      </c>
    </row>
    <row r="13" spans="2:11" x14ac:dyDescent="0.25">
      <c r="B13" s="24" t="s">
        <v>223</v>
      </c>
      <c r="C13" s="24"/>
      <c r="D13" s="24"/>
      <c r="E13" s="24"/>
      <c r="F13" s="134">
        <f>F11*(1-F12)</f>
        <v>95684.25</v>
      </c>
      <c r="G13" s="135">
        <f t="shared" ref="G13:K13" si="3">G11*(1-G12)</f>
        <v>99454.209450000024</v>
      </c>
      <c r="H13" s="135">
        <f t="shared" si="3"/>
        <v>103372.70530233003</v>
      </c>
      <c r="I13" s="135">
        <f t="shared" si="3"/>
        <v>107445.58989124183</v>
      </c>
      <c r="J13" s="135">
        <f t="shared" si="3"/>
        <v>111678.94613295676</v>
      </c>
      <c r="K13" s="135">
        <f t="shared" si="3"/>
        <v>116079.09661059525</v>
      </c>
    </row>
    <row r="14" spans="2:11" x14ac:dyDescent="0.25">
      <c r="B14" s="24" t="s">
        <v>273</v>
      </c>
      <c r="C14" s="24"/>
      <c r="D14" s="24"/>
      <c r="E14" s="24"/>
      <c r="F14" s="132">
        <f>'Intrinsic Growth'!K58</f>
        <v>0.36145041123725241</v>
      </c>
      <c r="G14" s="133">
        <f>F14</f>
        <v>0.36145041123725241</v>
      </c>
      <c r="H14" s="133">
        <f t="shared" ref="H14:K14" si="4">G14</f>
        <v>0.36145041123725241</v>
      </c>
      <c r="I14" s="133">
        <f t="shared" si="4"/>
        <v>0.36145041123725241</v>
      </c>
      <c r="J14" s="133">
        <f t="shared" si="4"/>
        <v>0.36145041123725241</v>
      </c>
      <c r="K14" s="133">
        <f t="shared" si="4"/>
        <v>0.36145041123725241</v>
      </c>
    </row>
    <row r="15" spans="2:11" ht="15.75" thickBot="1" x14ac:dyDescent="0.3">
      <c r="B15" s="111" t="s">
        <v>274</v>
      </c>
      <c r="C15" s="111"/>
      <c r="D15" s="111"/>
      <c r="E15" s="111"/>
      <c r="F15" s="136">
        <f>F13*(1-F14)</f>
        <v>61099.138488571931</v>
      </c>
      <c r="G15" s="137">
        <f t="shared" ref="G15:K15" si="5">G13*(1-G14)</f>
        <v>63506.444545021681</v>
      </c>
      <c r="H15" s="137">
        <f t="shared" si="5"/>
        <v>66008.598460095542</v>
      </c>
      <c r="I15" s="137">
        <f t="shared" si="5"/>
        <v>68609.337239423301</v>
      </c>
      <c r="J15" s="137">
        <f t="shared" si="5"/>
        <v>71312.54512665658</v>
      </c>
      <c r="K15" s="137">
        <f t="shared" si="5"/>
        <v>74122.259404646844</v>
      </c>
    </row>
    <row r="16" spans="2:11" ht="4.5" customHeight="1" x14ac:dyDescent="0.25">
      <c r="F16" s="138"/>
      <c r="G16" s="139"/>
      <c r="H16" s="139"/>
      <c r="I16" s="139"/>
      <c r="J16" s="139"/>
      <c r="K16" s="139"/>
    </row>
    <row r="17" spans="2:12" x14ac:dyDescent="0.25">
      <c r="B17" s="24" t="s">
        <v>275</v>
      </c>
      <c r="C17" s="24"/>
      <c r="D17" s="24"/>
      <c r="E17" s="24"/>
      <c r="F17" s="140"/>
      <c r="G17" s="141">
        <f>1/(1+$E$22)^G8</f>
        <v>0.95065367670042722</v>
      </c>
      <c r="H17" s="141">
        <f t="shared" ref="H17:K17" si="6">1/(1+$E$22)^H8</f>
        <v>0.85914604773142011</v>
      </c>
      <c r="I17" s="141">
        <f t="shared" si="6"/>
        <v>0.77644672231686096</v>
      </c>
      <c r="J17" s="141">
        <f t="shared" si="6"/>
        <v>0.70170783441124684</v>
      </c>
      <c r="K17" s="141">
        <f t="shared" si="6"/>
        <v>0.63416313150869397</v>
      </c>
    </row>
    <row r="18" spans="2:12" ht="15.75" thickBot="1" x14ac:dyDescent="0.3">
      <c r="B18" s="111" t="s">
        <v>278</v>
      </c>
      <c r="C18" s="111"/>
      <c r="D18" s="111"/>
      <c r="E18" s="111"/>
      <c r="F18" s="142"/>
      <c r="G18" s="137">
        <f>G15*G17</f>
        <v>60372.635000896647</v>
      </c>
      <c r="H18" s="137">
        <f t="shared" ref="H18:K18" si="7">H15*H17</f>
        <v>56711.026483281392</v>
      </c>
      <c r="I18" s="137">
        <f t="shared" si="7"/>
        <v>53271.495019882372</v>
      </c>
      <c r="J18" s="137">
        <f t="shared" si="7"/>
        <v>50040.5716071805</v>
      </c>
      <c r="K18" s="137">
        <f t="shared" si="7"/>
        <v>47005.604138550581</v>
      </c>
    </row>
    <row r="20" spans="2:12" x14ac:dyDescent="0.25">
      <c r="B20" s="140" t="s">
        <v>276</v>
      </c>
      <c r="C20" s="140"/>
      <c r="D20" s="140"/>
      <c r="E20" s="132">
        <v>3.9399999999999998E-2</v>
      </c>
    </row>
    <row r="21" spans="2:12" x14ac:dyDescent="0.25">
      <c r="B21" s="140" t="s">
        <v>277</v>
      </c>
      <c r="C21" s="140"/>
      <c r="D21" s="140"/>
      <c r="E21" s="132">
        <v>5.3800000000000001E-2</v>
      </c>
    </row>
    <row r="22" spans="2:12" x14ac:dyDescent="0.25">
      <c r="B22" s="140" t="s">
        <v>220</v>
      </c>
      <c r="C22" s="140"/>
      <c r="D22" s="140"/>
      <c r="E22" s="143">
        <f>WACC!K50</f>
        <v>0.10650998070774302</v>
      </c>
    </row>
    <row r="25" spans="2:12" x14ac:dyDescent="0.25">
      <c r="B25" s="101" t="s">
        <v>279</v>
      </c>
      <c r="C25" s="102"/>
      <c r="D25" s="102"/>
      <c r="E25" s="102"/>
      <c r="G25" s="189" t="s">
        <v>329</v>
      </c>
      <c r="H25" s="102"/>
      <c r="I25" s="102"/>
      <c r="J25" s="102"/>
      <c r="K25" s="102"/>
    </row>
    <row r="26" spans="2:12" x14ac:dyDescent="0.25">
      <c r="G26" s="186">
        <f>E38</f>
        <v>1207157.0478865467</v>
      </c>
      <c r="H26" s="174">
        <v>0.08</v>
      </c>
      <c r="I26" s="173">
        <v>0.1065</v>
      </c>
      <c r="J26" s="174">
        <v>0.12</v>
      </c>
      <c r="K26" s="182">
        <v>0.14000000000000001</v>
      </c>
      <c r="L26" s="48"/>
    </row>
    <row r="27" spans="2:12" x14ac:dyDescent="0.25">
      <c r="B27" s="129" t="s">
        <v>280</v>
      </c>
      <c r="C27" s="129"/>
      <c r="D27" s="129"/>
      <c r="E27" s="131">
        <f>K15*(1+E21)</f>
        <v>78110.036960616853</v>
      </c>
      <c r="G27" s="187">
        <v>0.03</v>
      </c>
      <c r="H27" s="175">
        <f t="dataTable" ref="H27:K31" dt2D="1" dtr="1" r1="E28" r2="E29"/>
        <v>1258091.4450738835</v>
      </c>
      <c r="I27" s="176">
        <v>914911.20991259685</v>
      </c>
      <c r="J27" s="176">
        <v>817784.72826317605</v>
      </c>
      <c r="K27" s="183">
        <v>717715.0198971061</v>
      </c>
    </row>
    <row r="28" spans="2:12" x14ac:dyDescent="0.25">
      <c r="B28" s="24" t="s">
        <v>220</v>
      </c>
      <c r="C28" s="24"/>
      <c r="D28" s="24"/>
      <c r="E28" s="133">
        <f>+E22</f>
        <v>0.10650998070774302</v>
      </c>
      <c r="G28" s="187">
        <v>0.04</v>
      </c>
      <c r="H28" s="177">
        <v>1505763.9732799069</v>
      </c>
      <c r="I28" s="178">
        <v>1012281.1163280562</v>
      </c>
      <c r="J28" s="178">
        <v>886582.65276484925</v>
      </c>
      <c r="K28" s="184">
        <v>762746.38866183755</v>
      </c>
    </row>
    <row r="29" spans="2:12" ht="15.75" thickBot="1" x14ac:dyDescent="0.3">
      <c r="B29" s="111" t="s">
        <v>281</v>
      </c>
      <c r="C29" s="111"/>
      <c r="D29" s="111"/>
      <c r="E29" s="144">
        <f>E21</f>
        <v>5.3800000000000001E-2</v>
      </c>
      <c r="G29" s="187">
        <v>5.3800000000000001E-2</v>
      </c>
      <c r="H29" s="177">
        <v>2158031.3185553108</v>
      </c>
      <c r="I29" s="179">
        <v>1207335.0256312834</v>
      </c>
      <c r="J29" s="178">
        <v>1015656.7044734261</v>
      </c>
      <c r="K29" s="184">
        <v>842047.56938673591</v>
      </c>
    </row>
    <row r="30" spans="2:12" x14ac:dyDescent="0.25">
      <c r="G30" s="187">
        <v>0.06</v>
      </c>
      <c r="H30" s="177">
        <v>2744126.6143100215</v>
      </c>
      <c r="I30" s="178">
        <v>1332659.5180821489</v>
      </c>
      <c r="J30" s="178">
        <v>1092976.4262698684</v>
      </c>
      <c r="K30" s="184">
        <v>886582.65276484902</v>
      </c>
    </row>
    <row r="31" spans="2:12" ht="15.75" thickBot="1" x14ac:dyDescent="0.3">
      <c r="B31" s="145" t="s">
        <v>282</v>
      </c>
      <c r="C31" s="145"/>
      <c r="D31" s="145"/>
      <c r="E31" s="146">
        <f>E27/(E28-E29)</f>
        <v>1481883.2394135671</v>
      </c>
      <c r="G31" s="188">
        <v>7.0000000000000007E-2</v>
      </c>
      <c r="H31" s="180">
        <v>5220851.8963702554</v>
      </c>
      <c r="I31" s="181">
        <v>1624511.0758444387</v>
      </c>
      <c r="J31" s="181">
        <v>1258091.445073884</v>
      </c>
      <c r="K31" s="185">
        <v>975037.12712414295</v>
      </c>
    </row>
    <row r="34" spans="2:11" x14ac:dyDescent="0.25">
      <c r="B34" s="101" t="s">
        <v>289</v>
      </c>
      <c r="C34" s="102"/>
      <c r="D34" s="102"/>
      <c r="E34" s="102"/>
      <c r="G34" s="101" t="s">
        <v>330</v>
      </c>
      <c r="H34" s="102"/>
      <c r="I34" s="102"/>
      <c r="J34" s="102"/>
      <c r="K34" s="102"/>
    </row>
    <row r="35" spans="2:11" x14ac:dyDescent="0.25">
      <c r="G35" s="186">
        <f>E44</f>
        <v>643.99780962851287</v>
      </c>
      <c r="H35" s="174">
        <v>0.08</v>
      </c>
      <c r="I35" s="173">
        <v>0.1065</v>
      </c>
      <c r="J35" s="174">
        <v>0.12</v>
      </c>
      <c r="K35" s="182">
        <v>0.14000000000000001</v>
      </c>
    </row>
    <row r="36" spans="2:11" x14ac:dyDescent="0.25">
      <c r="B36" s="129" t="s">
        <v>278</v>
      </c>
      <c r="C36" s="129"/>
      <c r="D36" s="129"/>
      <c r="E36" s="131">
        <f>SUM(G18:K18)</f>
        <v>267401.33224979148</v>
      </c>
      <c r="G36" s="187">
        <v>0.03</v>
      </c>
      <c r="H36" s="175">
        <f t="dataTable" ref="H36:K40" dt2D="1" dtr="1" r1="E28" r2="E29" ca="1"/>
        <v>681.63646721302155</v>
      </c>
      <c r="I36" s="176">
        <v>428.03881858475478</v>
      </c>
      <c r="J36" s="176">
        <v>356.2658991616604</v>
      </c>
      <c r="K36" s="183">
        <v>282.31804278635099</v>
      </c>
    </row>
    <row r="37" spans="2:11" x14ac:dyDescent="0.25">
      <c r="B37" s="24" t="s">
        <v>283</v>
      </c>
      <c r="C37" s="24"/>
      <c r="D37" s="24"/>
      <c r="E37" s="135">
        <f>E31*K17</f>
        <v>939755.71563675534</v>
      </c>
      <c r="G37" s="187">
        <v>0.04</v>
      </c>
      <c r="H37" s="177">
        <v>864.65741174191248</v>
      </c>
      <c r="I37" s="178">
        <v>499.99162001141576</v>
      </c>
      <c r="J37" s="178">
        <v>407.10505041968565</v>
      </c>
      <c r="K37" s="184">
        <v>315.59457815524019</v>
      </c>
    </row>
    <row r="38" spans="2:11" ht="15.75" thickBot="1" x14ac:dyDescent="0.3">
      <c r="B38" s="111" t="s">
        <v>284</v>
      </c>
      <c r="C38" s="111"/>
      <c r="D38" s="111"/>
      <c r="E38" s="137">
        <f>SUM(E36:E37)</f>
        <v>1207157.0478865467</v>
      </c>
      <c r="G38" s="187">
        <v>5.3800000000000001E-2</v>
      </c>
      <c r="H38" s="177">
        <v>1346.6591358828841</v>
      </c>
      <c r="I38" s="179">
        <v>644.12932867579184</v>
      </c>
      <c r="J38" s="178">
        <v>502.48605625422834</v>
      </c>
      <c r="K38" s="184">
        <v>374.19525180950222</v>
      </c>
    </row>
    <row r="39" spans="2:11" x14ac:dyDescent="0.25">
      <c r="G39" s="187">
        <v>0.06</v>
      </c>
      <c r="H39" s="177">
        <v>1779.7621343863657</v>
      </c>
      <c r="I39" s="178">
        <v>736.73954728623619</v>
      </c>
      <c r="J39" s="178">
        <v>559.62250419376119</v>
      </c>
      <c r="K39" s="184">
        <v>407.10505041968548</v>
      </c>
    </row>
    <row r="40" spans="2:11" ht="15.75" thickBot="1" x14ac:dyDescent="0.3">
      <c r="B40" s="129" t="s">
        <v>285</v>
      </c>
      <c r="C40" s="129"/>
      <c r="D40" s="129"/>
      <c r="E40" s="129">
        <f>'Data Sheet'!J69</f>
        <v>97225</v>
      </c>
      <c r="G40" s="188">
        <v>7.0000000000000007E-2</v>
      </c>
      <c r="H40" s="180">
        <v>3609.9715796752753</v>
      </c>
      <c r="I40" s="181">
        <v>952.40717966672332</v>
      </c>
      <c r="J40" s="181">
        <v>681.63646721302189</v>
      </c>
      <c r="K40" s="185">
        <v>472.46967346571779</v>
      </c>
    </row>
    <row r="41" spans="2:11" x14ac:dyDescent="0.25">
      <c r="B41" s="24" t="s">
        <v>286</v>
      </c>
      <c r="C41" s="24"/>
      <c r="D41" s="24"/>
      <c r="E41" s="110">
        <f>SUM('Raw FM'!N12:N13)</f>
        <v>432894</v>
      </c>
    </row>
    <row r="42" spans="2:11" x14ac:dyDescent="0.25">
      <c r="B42" s="27" t="s">
        <v>287</v>
      </c>
      <c r="C42" s="27"/>
      <c r="D42" s="27"/>
      <c r="E42" s="147">
        <f>E38+E40-E41</f>
        <v>871488.0478865467</v>
      </c>
    </row>
    <row r="43" spans="2:11" x14ac:dyDescent="0.25">
      <c r="B43" s="148" t="s">
        <v>288</v>
      </c>
      <c r="C43" s="148"/>
      <c r="D43" s="148"/>
      <c r="E43" s="149">
        <f>'Data Sheet'!B6</f>
        <v>1353.2469130434783</v>
      </c>
    </row>
    <row r="44" spans="2:11" ht="15.75" thickBot="1" x14ac:dyDescent="0.3">
      <c r="B44" s="40" t="s">
        <v>290</v>
      </c>
      <c r="C44" s="40"/>
      <c r="D44" s="40"/>
      <c r="E44" s="151">
        <f>E42/E43</f>
        <v>643.99780962851287</v>
      </c>
    </row>
    <row r="46" spans="2:11" x14ac:dyDescent="0.25">
      <c r="B46" s="129" t="s">
        <v>291</v>
      </c>
      <c r="C46" s="129"/>
      <c r="D46" s="129"/>
      <c r="E46" s="129">
        <v>1368</v>
      </c>
    </row>
    <row r="47" spans="2:11" ht="15.75" thickBot="1" x14ac:dyDescent="0.3">
      <c r="B47" s="111" t="s">
        <v>292</v>
      </c>
      <c r="C47" s="111"/>
      <c r="D47" s="111"/>
      <c r="E47" s="150">
        <f>E46/E44-1</f>
        <v>1.1242308274140318</v>
      </c>
    </row>
    <row r="48" spans="2:11" x14ac:dyDescent="0.25">
      <c r="E48" s="279"/>
    </row>
    <row r="49" spans="2:11" x14ac:dyDescent="0.25">
      <c r="E49" s="279"/>
    </row>
    <row r="50" spans="2:11" x14ac:dyDescent="0.25">
      <c r="E50" s="279"/>
    </row>
    <row r="51" spans="2:11" x14ac:dyDescent="0.25">
      <c r="B51" s="11"/>
      <c r="C51" s="11"/>
      <c r="D51" s="11"/>
      <c r="E51" s="11"/>
      <c r="F51" s="11"/>
      <c r="G51" s="11"/>
      <c r="H51" s="11"/>
      <c r="I51" s="11"/>
      <c r="J51" s="11"/>
      <c r="K51" s="11"/>
    </row>
    <row r="52" spans="2:11" x14ac:dyDescent="0.25">
      <c r="E52" s="279"/>
    </row>
    <row r="53" spans="2:11" x14ac:dyDescent="0.25">
      <c r="E53" s="279"/>
    </row>
    <row r="55" spans="2:11" x14ac:dyDescent="0.25">
      <c r="B55" s="272" t="s">
        <v>731</v>
      </c>
      <c r="K55" s="273" t="s">
        <v>734</v>
      </c>
    </row>
    <row r="56" spans="2:11" x14ac:dyDescent="0.25">
      <c r="B56" s="272" t="s">
        <v>733</v>
      </c>
      <c r="K56" s="273" t="s">
        <v>735</v>
      </c>
    </row>
  </sheetData>
  <mergeCells count="3">
    <mergeCell ref="B6:F6"/>
    <mergeCell ref="B9:E9"/>
    <mergeCell ref="B1:F5"/>
  </mergeCells>
  <pageMargins left="0.25" right="0.25" top="0.75" bottom="0.75" header="0.3" footer="0.3"/>
  <pageSetup scale="78" orientation="portrait" r:id="rId1"/>
  <ignoredErrors>
    <ignoredError sqref="E41"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6CA4-DD85-44B4-851C-71199BA318A6}">
  <sheetPr>
    <pageSetUpPr fitToPage="1"/>
  </sheetPr>
  <dimension ref="A1:Q45"/>
  <sheetViews>
    <sheetView showGridLines="0" view="pageBreakPreview" zoomScale="60" zoomScaleNormal="100" workbookViewId="0">
      <selection activeCell="A40" sqref="A40:XFD40"/>
    </sheetView>
  </sheetViews>
  <sheetFormatPr defaultRowHeight="15" x14ac:dyDescent="0.25"/>
  <cols>
    <col min="1" max="1" width="2.28515625" customWidth="1"/>
    <col min="2" max="2" width="33.140625" bestFit="1" customWidth="1"/>
    <col min="5" max="5" width="11.7109375" customWidth="1"/>
    <col min="7" max="7" width="9.5703125" bestFit="1" customWidth="1"/>
    <col min="8" max="8" width="11.140625" customWidth="1"/>
    <col min="10" max="10" width="1.42578125" customWidth="1"/>
    <col min="11" max="12" width="9.5703125" bestFit="1" customWidth="1"/>
    <col min="13" max="13" width="11.85546875" customWidth="1"/>
    <col min="14" max="14" width="1.42578125" customWidth="1"/>
    <col min="15" max="15" width="12.42578125" bestFit="1" customWidth="1"/>
    <col min="16" max="16" width="11.28515625" bestFit="1" customWidth="1"/>
    <col min="17" max="17" width="12.42578125" bestFit="1" customWidth="1"/>
    <col min="18" max="18" width="1.28515625" customWidth="1"/>
  </cols>
  <sheetData>
    <row r="1" spans="1:17" ht="21" x14ac:dyDescent="0.25">
      <c r="B1" s="324" t="str">
        <f>'Data Sheet'!B1</f>
        <v>RELIANCE INDUSTRIES LTD</v>
      </c>
      <c r="C1" s="324"/>
      <c r="D1" s="324"/>
      <c r="E1" s="324"/>
      <c r="F1" s="324"/>
      <c r="G1" s="57"/>
      <c r="H1" s="57"/>
      <c r="I1" s="57"/>
      <c r="J1" s="57"/>
      <c r="K1" s="57"/>
      <c r="L1" s="57"/>
      <c r="M1" s="57"/>
      <c r="N1" s="57"/>
      <c r="O1" s="57"/>
      <c r="P1" s="57"/>
      <c r="Q1" s="57"/>
    </row>
    <row r="2" spans="1:17" x14ac:dyDescent="0.25">
      <c r="B2" s="324"/>
      <c r="C2" s="324"/>
      <c r="D2" s="324"/>
      <c r="E2" s="324"/>
      <c r="F2" s="324"/>
      <c r="G2" s="11"/>
      <c r="H2" s="11"/>
      <c r="I2" s="11"/>
      <c r="J2" s="11"/>
      <c r="K2" s="11"/>
      <c r="L2" s="11"/>
      <c r="M2" s="11"/>
      <c r="N2" s="11"/>
      <c r="O2" s="11"/>
      <c r="P2" s="11"/>
      <c r="Q2" s="11"/>
    </row>
    <row r="3" spans="1:17" ht="21" customHeight="1" x14ac:dyDescent="0.25">
      <c r="B3" s="324"/>
      <c r="C3" s="324"/>
      <c r="D3" s="324"/>
      <c r="E3" s="324"/>
      <c r="F3" s="324"/>
      <c r="G3" s="57"/>
      <c r="H3" s="11"/>
      <c r="I3" s="11"/>
      <c r="J3" s="11"/>
      <c r="K3" s="11"/>
      <c r="L3" s="11"/>
      <c r="M3" s="11"/>
      <c r="N3" s="11"/>
      <c r="O3" s="11"/>
      <c r="P3" s="11"/>
      <c r="Q3" s="11"/>
    </row>
    <row r="4" spans="1:17" ht="21" customHeight="1" x14ac:dyDescent="0.25">
      <c r="B4" s="324"/>
      <c r="C4" s="324"/>
      <c r="D4" s="324"/>
      <c r="E4" s="324"/>
      <c r="F4" s="324"/>
      <c r="G4" s="57"/>
      <c r="H4" s="11"/>
      <c r="I4" s="11"/>
      <c r="J4" s="11"/>
      <c r="K4" s="11"/>
      <c r="L4" s="11"/>
      <c r="M4" s="11"/>
      <c r="N4" s="11"/>
      <c r="O4" s="11"/>
      <c r="P4" s="11"/>
      <c r="Q4" s="11"/>
    </row>
    <row r="5" spans="1:17" ht="15.75" x14ac:dyDescent="0.25">
      <c r="B5" s="314" t="s">
        <v>63</v>
      </c>
      <c r="C5" s="314"/>
      <c r="D5" s="314"/>
      <c r="E5" s="314"/>
      <c r="F5" s="314"/>
      <c r="G5" s="58"/>
      <c r="H5" s="11"/>
      <c r="I5" s="11"/>
      <c r="J5" s="11"/>
      <c r="K5" s="11"/>
      <c r="L5" s="11"/>
      <c r="M5" s="11"/>
      <c r="N5" s="11"/>
      <c r="O5" s="11"/>
      <c r="P5" s="11"/>
      <c r="Q5" s="11"/>
    </row>
    <row r="6" spans="1:17" x14ac:dyDescent="0.25">
      <c r="B6" s="152" t="s">
        <v>293</v>
      </c>
    </row>
    <row r="7" spans="1:17" ht="15.75" x14ac:dyDescent="0.25">
      <c r="B7" s="153" t="s">
        <v>294</v>
      </c>
      <c r="C7" s="68"/>
      <c r="D7" s="154"/>
      <c r="E7" s="68"/>
      <c r="F7" s="68"/>
      <c r="G7" s="68"/>
      <c r="H7" s="68"/>
      <c r="I7" s="68"/>
      <c r="J7" s="68"/>
      <c r="K7" s="68"/>
      <c r="L7" s="68"/>
      <c r="M7" s="68"/>
      <c r="N7" s="68"/>
      <c r="O7" s="68"/>
      <c r="P7" s="68"/>
      <c r="Q7" s="68"/>
    </row>
    <row r="9" spans="1:17" x14ac:dyDescent="0.25">
      <c r="B9" s="101"/>
      <c r="C9" s="101"/>
      <c r="D9" s="323" t="s">
        <v>295</v>
      </c>
      <c r="E9" s="323"/>
      <c r="F9" s="323"/>
      <c r="G9" s="323"/>
      <c r="H9" s="323"/>
      <c r="I9" s="323"/>
      <c r="J9" s="101"/>
      <c r="K9" s="323" t="s">
        <v>296</v>
      </c>
      <c r="L9" s="323"/>
      <c r="M9" s="323"/>
      <c r="N9" s="101"/>
      <c r="O9" s="323" t="s">
        <v>297</v>
      </c>
      <c r="P9" s="323"/>
      <c r="Q9" s="323"/>
    </row>
    <row r="10" spans="1:17" ht="45" x14ac:dyDescent="0.25">
      <c r="B10" s="155" t="s">
        <v>298</v>
      </c>
      <c r="C10" s="155" t="s">
        <v>299</v>
      </c>
      <c r="D10" s="156" t="s">
        <v>300</v>
      </c>
      <c r="E10" s="156" t="s">
        <v>301</v>
      </c>
      <c r="F10" s="156" t="s">
        <v>302</v>
      </c>
      <c r="G10" s="156" t="s">
        <v>303</v>
      </c>
      <c r="H10" s="156" t="s">
        <v>304</v>
      </c>
      <c r="I10" s="156"/>
      <c r="J10" s="157"/>
      <c r="K10" s="156" t="s">
        <v>305</v>
      </c>
      <c r="L10" s="156" t="s">
        <v>136</v>
      </c>
      <c r="M10" s="156" t="s">
        <v>78</v>
      </c>
      <c r="N10" s="156"/>
      <c r="O10" s="156" t="s">
        <v>306</v>
      </c>
      <c r="P10" s="156" t="s">
        <v>307</v>
      </c>
      <c r="Q10" s="156" t="s">
        <v>308</v>
      </c>
    </row>
    <row r="11" spans="1:17" ht="4.5" customHeight="1" x14ac:dyDescent="0.25"/>
    <row r="12" spans="1:17" x14ac:dyDescent="0.25">
      <c r="A12" s="2"/>
      <c r="B12" s="158" t="str">
        <f>Comps!C3</f>
        <v>Reliance Industr</v>
      </c>
      <c r="C12" s="158"/>
      <c r="D12" s="159">
        <f>Comps!D3</f>
        <v>1367.8</v>
      </c>
      <c r="E12" s="159">
        <f>Comps!F3</f>
        <v>1353.25</v>
      </c>
      <c r="F12" s="159">
        <f>E12*D12</f>
        <v>1850975.3499999999</v>
      </c>
      <c r="G12" s="159">
        <f>Comps!I3</f>
        <v>263073</v>
      </c>
      <c r="H12" s="159">
        <f>F12+G12</f>
        <v>2114048.3499999996</v>
      </c>
      <c r="I12" s="159"/>
      <c r="J12" s="159"/>
      <c r="K12" s="159">
        <f>Comps!N3</f>
        <v>976541</v>
      </c>
      <c r="L12" s="159">
        <f>Comps!P3</f>
        <v>189774</v>
      </c>
      <c r="M12" s="159">
        <f>Comps!M3</f>
        <v>94647</v>
      </c>
      <c r="N12" s="158"/>
      <c r="O12" s="160">
        <f>H12/K12</f>
        <v>2.1648331713671003</v>
      </c>
      <c r="P12" s="160">
        <f>H12/L12</f>
        <v>11.139820786830649</v>
      </c>
      <c r="Q12" s="160">
        <f>F12/M12</f>
        <v>19.556619332889579</v>
      </c>
    </row>
    <row r="13" spans="1:17" x14ac:dyDescent="0.25">
      <c r="B13" s="115" t="str">
        <f>Comps!C4</f>
        <v>I O C L</v>
      </c>
      <c r="C13" s="115"/>
      <c r="D13" s="116">
        <f>Comps!D4</f>
        <v>139.91</v>
      </c>
      <c r="E13" s="116">
        <f>Comps!F4</f>
        <v>1412.12</v>
      </c>
      <c r="F13" s="116">
        <f t="shared" ref="F13:F21" si="0">E13*D13</f>
        <v>197569.70919999998</v>
      </c>
      <c r="G13" s="116">
        <f>Comps!I4</f>
        <v>148965.62</v>
      </c>
      <c r="H13" s="116">
        <f t="shared" ref="H13:H21" si="1">F13+G13</f>
        <v>346535.32919999998</v>
      </c>
      <c r="I13" s="116"/>
      <c r="J13" s="116"/>
      <c r="K13" s="116">
        <f>Comps!N4</f>
        <v>758105.81</v>
      </c>
      <c r="L13" s="116">
        <f>Comps!P4</f>
        <v>41264.699999999997</v>
      </c>
      <c r="M13" s="116">
        <f>Comps!M4</f>
        <v>13788.83</v>
      </c>
      <c r="N13" s="115"/>
      <c r="O13" s="161">
        <f t="shared" ref="O13:O21" si="2">H13/K13</f>
        <v>0.45710681098724193</v>
      </c>
      <c r="P13" s="161">
        <f t="shared" ref="P13:P21" si="3">H13/L13</f>
        <v>8.3978637721830047</v>
      </c>
      <c r="Q13" s="161">
        <f t="shared" ref="Q13:Q21" si="4">F13/M13</f>
        <v>14.328243164938575</v>
      </c>
    </row>
    <row r="14" spans="1:17" x14ac:dyDescent="0.25">
      <c r="B14" s="115" t="str">
        <f>Comps!C5</f>
        <v>B P C L</v>
      </c>
      <c r="C14" s="115"/>
      <c r="D14" s="116">
        <f>Comps!D5</f>
        <v>319.45</v>
      </c>
      <c r="E14" s="116">
        <f>Comps!F5</f>
        <v>433.85</v>
      </c>
      <c r="F14" s="116">
        <f t="shared" si="0"/>
        <v>138593.38250000001</v>
      </c>
      <c r="G14" s="116">
        <f>Comps!I5</f>
        <v>50624.979999999996</v>
      </c>
      <c r="H14" s="116">
        <f t="shared" si="1"/>
        <v>189218.36249999999</v>
      </c>
      <c r="I14" s="116"/>
      <c r="J14" s="116"/>
      <c r="K14" s="116">
        <f>Comps!N5</f>
        <v>440271.86</v>
      </c>
      <c r="L14" s="116">
        <f>Comps!P5</f>
        <v>29372.62</v>
      </c>
      <c r="M14" s="116">
        <f>Comps!M5</f>
        <v>13336.55</v>
      </c>
      <c r="N14" s="115"/>
      <c r="O14" s="161">
        <f t="shared" si="2"/>
        <v>0.42977618987504673</v>
      </c>
      <c r="P14" s="161">
        <f t="shared" si="3"/>
        <v>6.4419981091233947</v>
      </c>
      <c r="Q14" s="161">
        <f t="shared" si="4"/>
        <v>10.391996618315833</v>
      </c>
    </row>
    <row r="15" spans="1:17" x14ac:dyDescent="0.25">
      <c r="B15" s="115" t="str">
        <f>Comps!C6</f>
        <v>H P C L</v>
      </c>
      <c r="C15" s="115"/>
      <c r="D15" s="116">
        <f>Comps!D6</f>
        <v>409.5</v>
      </c>
      <c r="E15" s="116">
        <f>Comps!F6</f>
        <v>212.78</v>
      </c>
      <c r="F15" s="116">
        <f t="shared" si="0"/>
        <v>87133.41</v>
      </c>
      <c r="G15" s="116">
        <f>Comps!I6</f>
        <v>70304.42</v>
      </c>
      <c r="H15" s="116">
        <f t="shared" si="1"/>
        <v>157437.83000000002</v>
      </c>
      <c r="I15" s="116"/>
      <c r="J15" s="116"/>
      <c r="K15" s="116">
        <f>Comps!N6</f>
        <v>431043.22</v>
      </c>
      <c r="L15" s="116">
        <f>Comps!P6</f>
        <v>23465.4</v>
      </c>
      <c r="M15" s="116">
        <f>Comps!M6</f>
        <v>10212.69</v>
      </c>
      <c r="N15" s="115"/>
      <c r="O15" s="161">
        <f t="shared" si="2"/>
        <v>0.36524836186960563</v>
      </c>
      <c r="P15" s="161">
        <f t="shared" si="3"/>
        <v>6.7093605904864182</v>
      </c>
      <c r="Q15" s="161">
        <f t="shared" si="4"/>
        <v>8.5318765183316057</v>
      </c>
    </row>
    <row r="16" spans="1:17" x14ac:dyDescent="0.25">
      <c r="B16" s="115" t="str">
        <f>Comps!C7</f>
        <v>M R P L</v>
      </c>
      <c r="C16" s="115"/>
      <c r="D16" s="116">
        <f>Comps!D7</f>
        <v>125.77</v>
      </c>
      <c r="E16" s="116">
        <f>Comps!F7</f>
        <v>175.26</v>
      </c>
      <c r="F16" s="116">
        <f t="shared" si="0"/>
        <v>22042.450199999999</v>
      </c>
      <c r="G16" s="116">
        <f>Comps!I7</f>
        <v>13112</v>
      </c>
      <c r="H16" s="116">
        <f t="shared" si="1"/>
        <v>35154.450199999999</v>
      </c>
      <c r="I16" s="116"/>
      <c r="J16" s="116"/>
      <c r="K16" s="116">
        <f>Comps!N7</f>
        <v>88790.83</v>
      </c>
      <c r="L16" s="116">
        <f>Comps!P7</f>
        <v>2035.09</v>
      </c>
      <c r="M16" s="116">
        <f>Comps!M7</f>
        <v>-287.67</v>
      </c>
      <c r="N16" s="115"/>
      <c r="O16" s="161">
        <f t="shared" si="2"/>
        <v>0.39592433362769552</v>
      </c>
      <c r="P16" s="161">
        <f t="shared" si="3"/>
        <v>17.274150135866229</v>
      </c>
      <c r="Q16" s="161">
        <f t="shared" si="4"/>
        <v>-76.624083846073617</v>
      </c>
    </row>
    <row r="17" spans="2:17" x14ac:dyDescent="0.25">
      <c r="B17" s="115" t="str">
        <f>Comps!C8</f>
        <v>C P C L</v>
      </c>
      <c r="C17" s="115"/>
      <c r="D17" s="116">
        <f>Comps!D8</f>
        <v>643.5</v>
      </c>
      <c r="E17" s="116">
        <f>Comps!F8</f>
        <v>14.89</v>
      </c>
      <c r="F17" s="116">
        <f t="shared" si="0"/>
        <v>9581.7150000000001</v>
      </c>
      <c r="G17" s="116">
        <f>Comps!I8</f>
        <v>2742.14</v>
      </c>
      <c r="H17" s="116">
        <f t="shared" si="1"/>
        <v>12323.855</v>
      </c>
      <c r="I17" s="116"/>
      <c r="J17" s="116"/>
      <c r="K17" s="116">
        <f>Comps!N8</f>
        <v>57073.11</v>
      </c>
      <c r="L17" s="116">
        <f>Comps!P8</f>
        <v>541.88</v>
      </c>
      <c r="M17" s="116">
        <f>Comps!M8</f>
        <v>-183.08</v>
      </c>
      <c r="N17" s="115"/>
      <c r="O17" s="161">
        <f t="shared" si="2"/>
        <v>0.21593102250779744</v>
      </c>
      <c r="P17" s="161">
        <f t="shared" si="3"/>
        <v>22.742775153170442</v>
      </c>
      <c r="Q17" s="161">
        <f t="shared" si="4"/>
        <v>-52.336219139174126</v>
      </c>
    </row>
    <row r="18" spans="2:17" x14ac:dyDescent="0.25">
      <c r="B18" s="115" t="str">
        <f>Comps!C9</f>
        <v>Rajasthan Gases</v>
      </c>
      <c r="C18" s="115"/>
      <c r="D18" s="116">
        <f>Comps!D9</f>
        <v>39.25</v>
      </c>
      <c r="E18" s="116">
        <f>Comps!F9</f>
        <v>7.69</v>
      </c>
      <c r="F18" s="116">
        <f t="shared" si="0"/>
        <v>301.83250000000004</v>
      </c>
      <c r="G18" s="116">
        <f>Comps!I9</f>
        <v>-0.15</v>
      </c>
      <c r="H18" s="116">
        <f t="shared" si="1"/>
        <v>301.68250000000006</v>
      </c>
      <c r="I18" s="116"/>
      <c r="J18" s="116"/>
      <c r="K18" s="116">
        <f>Comps!N9</f>
        <v>8.23</v>
      </c>
      <c r="L18" s="116">
        <f>Comps!P9</f>
        <v>8.0399999999999991</v>
      </c>
      <c r="M18" s="116">
        <f>Comps!M9</f>
        <v>7.02</v>
      </c>
      <c r="N18" s="115"/>
      <c r="O18" s="161">
        <f t="shared" si="2"/>
        <v>36.656439854191987</v>
      </c>
      <c r="P18" s="161">
        <f t="shared" si="3"/>
        <v>37.522699004975138</v>
      </c>
      <c r="Q18" s="161">
        <f t="shared" si="4"/>
        <v>42.996082621082628</v>
      </c>
    </row>
    <row r="19" spans="2:17" x14ac:dyDescent="0.25">
      <c r="B19" s="115" t="str">
        <f>Comps!C10</f>
        <v>Resgen</v>
      </c>
      <c r="C19" s="115"/>
      <c r="D19" s="116">
        <f>Comps!D10</f>
        <v>80.900000000000006</v>
      </c>
      <c r="E19" s="116">
        <f>Comps!F10</f>
        <v>2.1</v>
      </c>
      <c r="F19" s="116">
        <f t="shared" si="0"/>
        <v>169.89000000000001</v>
      </c>
      <c r="G19" s="116">
        <f>Comps!I10</f>
        <v>2.8600000000000003</v>
      </c>
      <c r="H19" s="116">
        <f t="shared" si="1"/>
        <v>172.75000000000003</v>
      </c>
      <c r="I19" s="116"/>
      <c r="J19" s="116"/>
      <c r="K19" s="116">
        <f>Comps!N10</f>
        <v>65.16</v>
      </c>
      <c r="L19" s="116">
        <f>Comps!P10</f>
        <v>15.38</v>
      </c>
      <c r="M19" s="116">
        <f>Comps!M10</f>
        <v>7.98</v>
      </c>
      <c r="N19" s="115"/>
      <c r="O19" s="161">
        <f t="shared" si="2"/>
        <v>2.651166359729896</v>
      </c>
      <c r="P19" s="161">
        <f t="shared" si="3"/>
        <v>11.232119635890768</v>
      </c>
      <c r="Q19" s="161">
        <f t="shared" si="4"/>
        <v>21.289473684210527</v>
      </c>
    </row>
    <row r="20" spans="2:17" x14ac:dyDescent="0.25">
      <c r="B20" s="115" t="str">
        <f>Comps!C11</f>
        <v>Sanmit Infra</v>
      </c>
      <c r="C20" s="115"/>
      <c r="D20" s="116">
        <f>Comps!D11</f>
        <v>9.33</v>
      </c>
      <c r="E20" s="116">
        <f>Comps!F11</f>
        <v>15.8</v>
      </c>
      <c r="F20" s="116">
        <f t="shared" si="0"/>
        <v>147.41400000000002</v>
      </c>
      <c r="G20" s="116">
        <f>Comps!I11</f>
        <v>8.14</v>
      </c>
      <c r="H20" s="116">
        <f t="shared" si="1"/>
        <v>155.55400000000003</v>
      </c>
      <c r="I20" s="116"/>
      <c r="J20" s="116"/>
      <c r="K20" s="116">
        <f>Comps!N11</f>
        <v>146.55000000000001</v>
      </c>
      <c r="L20" s="116">
        <f>Comps!P11</f>
        <v>6.1099999999999994</v>
      </c>
      <c r="M20" s="116">
        <f>Comps!M11</f>
        <v>1.56</v>
      </c>
      <c r="N20" s="115"/>
      <c r="O20" s="161">
        <f t="shared" si="2"/>
        <v>1.06143978164449</v>
      </c>
      <c r="P20" s="161">
        <f t="shared" si="3"/>
        <v>25.458919803600661</v>
      </c>
      <c r="Q20" s="161">
        <f t="shared" si="4"/>
        <v>94.496153846153859</v>
      </c>
    </row>
    <row r="21" spans="2:17" x14ac:dyDescent="0.25">
      <c r="B21" s="115" t="str">
        <f>Comps!C12</f>
        <v>Cont. Petroleums</v>
      </c>
      <c r="C21" s="115"/>
      <c r="D21" s="116">
        <f>Comps!D12</f>
        <v>116.4</v>
      </c>
      <c r="E21" s="116">
        <f>Comps!F12</f>
        <v>0.56000000000000005</v>
      </c>
      <c r="F21" s="116">
        <f t="shared" si="0"/>
        <v>65.184000000000012</v>
      </c>
      <c r="G21" s="116">
        <f>Comps!I12</f>
        <v>6.93</v>
      </c>
      <c r="H21" s="116">
        <f t="shared" si="1"/>
        <v>72.114000000000004</v>
      </c>
      <c r="I21" s="116"/>
      <c r="J21" s="116"/>
      <c r="K21" s="116">
        <f>Comps!N12</f>
        <v>112.91</v>
      </c>
      <c r="L21" s="116">
        <f>Comps!P12</f>
        <v>8.0299999999999994</v>
      </c>
      <c r="M21" s="116">
        <f>Comps!M12</f>
        <v>4.3099999999999996</v>
      </c>
      <c r="N21" s="115"/>
      <c r="O21" s="161">
        <f t="shared" si="2"/>
        <v>0.63868567885926852</v>
      </c>
      <c r="P21" s="161">
        <f t="shared" si="3"/>
        <v>8.9805728518057304</v>
      </c>
      <c r="Q21" s="161">
        <f t="shared" si="4"/>
        <v>15.12389791183295</v>
      </c>
    </row>
    <row r="22" spans="2:17" x14ac:dyDescent="0.25">
      <c r="B22" s="162" t="s">
        <v>322</v>
      </c>
      <c r="C22" s="162"/>
      <c r="D22" s="162"/>
      <c r="E22" s="162"/>
      <c r="F22" s="162"/>
      <c r="G22" s="162"/>
      <c r="H22" s="162"/>
      <c r="I22" s="162"/>
      <c r="J22" s="162"/>
      <c r="K22" s="162"/>
      <c r="L22" s="162"/>
      <c r="M22" s="162"/>
      <c r="N22" s="162"/>
      <c r="O22" s="163">
        <f>MAX(O12:O21)</f>
        <v>36.656439854191987</v>
      </c>
      <c r="P22" s="163">
        <f t="shared" ref="P22:Q22" si="5">MAX(P12:P21)</f>
        <v>37.522699004975138</v>
      </c>
      <c r="Q22" s="163">
        <f t="shared" si="5"/>
        <v>94.496153846153859</v>
      </c>
    </row>
    <row r="23" spans="2:17" x14ac:dyDescent="0.25">
      <c r="B23" s="162" t="s">
        <v>323</v>
      </c>
      <c r="C23" s="162"/>
      <c r="D23" s="162"/>
      <c r="E23" s="162"/>
      <c r="F23" s="162"/>
      <c r="G23" s="162"/>
      <c r="H23" s="162"/>
      <c r="I23" s="162"/>
      <c r="J23" s="162"/>
      <c r="K23" s="162"/>
      <c r="L23" s="162"/>
      <c r="M23" s="162"/>
      <c r="N23" s="162"/>
      <c r="O23" s="163">
        <f>QUARTILE(O12:O21,3)</f>
        <v>1.8889848239364477</v>
      </c>
      <c r="P23" s="163">
        <f t="shared" ref="P23:Q23" si="6">QUARTILE(P12:P21,3)</f>
        <v>21.375618898844387</v>
      </c>
      <c r="Q23" s="163">
        <f t="shared" si="6"/>
        <v>20.856260096380289</v>
      </c>
    </row>
    <row r="24" spans="2:17" x14ac:dyDescent="0.25">
      <c r="B24" s="165" t="s">
        <v>196</v>
      </c>
      <c r="C24" s="165"/>
      <c r="D24" s="165"/>
      <c r="E24" s="165"/>
      <c r="F24" s="165"/>
      <c r="G24" s="165"/>
      <c r="H24" s="165"/>
      <c r="I24" s="165"/>
      <c r="J24" s="165"/>
      <c r="K24" s="165"/>
      <c r="L24" s="165"/>
      <c r="M24" s="165"/>
      <c r="N24" s="165"/>
      <c r="O24" s="166">
        <f>AVERAGE(O12:O21)</f>
        <v>4.5036551564660128</v>
      </c>
      <c r="P24" s="166">
        <f t="shared" ref="P24:Q24" si="7">AVERAGE(P12:P21)</f>
        <v>15.590027984393245</v>
      </c>
      <c r="Q24" s="166">
        <f t="shared" si="7"/>
        <v>9.7754040712507813</v>
      </c>
    </row>
    <row r="25" spans="2:17" x14ac:dyDescent="0.25">
      <c r="B25" s="165" t="s">
        <v>123</v>
      </c>
      <c r="C25" s="165"/>
      <c r="D25" s="165"/>
      <c r="E25" s="165"/>
      <c r="F25" s="165"/>
      <c r="G25" s="165"/>
      <c r="H25" s="165"/>
      <c r="I25" s="165"/>
      <c r="J25" s="165"/>
      <c r="K25" s="165"/>
      <c r="L25" s="165"/>
      <c r="M25" s="165"/>
      <c r="N25" s="165"/>
      <c r="O25" s="166">
        <f>MEDIAN(O12:O21)</f>
        <v>0.54789624492325517</v>
      </c>
      <c r="P25" s="166">
        <f t="shared" ref="P25:Q25" si="8">MEDIAN(P12:P21)</f>
        <v>11.185970211360708</v>
      </c>
      <c r="Q25" s="166">
        <f t="shared" si="8"/>
        <v>14.726070538385763</v>
      </c>
    </row>
    <row r="26" spans="2:17" x14ac:dyDescent="0.25">
      <c r="B26" s="162" t="s">
        <v>324</v>
      </c>
      <c r="C26" s="162"/>
      <c r="D26" s="162"/>
      <c r="E26" s="162"/>
      <c r="F26" s="162"/>
      <c r="G26" s="162"/>
      <c r="H26" s="162"/>
      <c r="I26" s="162"/>
      <c r="J26" s="162"/>
      <c r="K26" s="162"/>
      <c r="L26" s="162"/>
      <c r="M26" s="162"/>
      <c r="N26" s="162"/>
      <c r="O26" s="163">
        <f>QUARTILE(O12:O21,1)</f>
        <v>0.4043872976895333</v>
      </c>
      <c r="P26" s="163">
        <f t="shared" ref="P26:Q26" si="9">QUARTILE(P12:P21,1)</f>
        <v>8.5435410420886857</v>
      </c>
      <c r="Q26" s="163">
        <f t="shared" si="9"/>
        <v>8.9969065433276629</v>
      </c>
    </row>
    <row r="27" spans="2:17" x14ac:dyDescent="0.25">
      <c r="B27" s="162" t="s">
        <v>325</v>
      </c>
      <c r="C27" s="162"/>
      <c r="D27" s="162"/>
      <c r="E27" s="162"/>
      <c r="F27" s="162"/>
      <c r="G27" s="162"/>
      <c r="H27" s="162"/>
      <c r="I27" s="162"/>
      <c r="J27" s="162"/>
      <c r="K27" s="162"/>
      <c r="L27" s="162"/>
      <c r="M27" s="162"/>
      <c r="N27" s="162"/>
      <c r="O27" s="163">
        <f>MIN(O12:O21)</f>
        <v>0.21593102250779744</v>
      </c>
      <c r="P27" s="163">
        <f t="shared" ref="P27:Q27" si="10">MIN(P12:P21)</f>
        <v>6.4419981091233947</v>
      </c>
      <c r="Q27" s="163">
        <f t="shared" si="10"/>
        <v>-76.624083846073617</v>
      </c>
    </row>
    <row r="29" spans="2:17" x14ac:dyDescent="0.25">
      <c r="B29" s="12" t="str">
        <f>'Data Sheet'!B1&amp;" Comparable Company Valuation"</f>
        <v>RELIANCE INDUSTRIES LTD Comparable Company Valuation</v>
      </c>
      <c r="C29" s="11"/>
      <c r="D29" s="11"/>
      <c r="E29" s="11"/>
      <c r="F29" s="11"/>
      <c r="G29" s="11"/>
      <c r="H29" s="11"/>
      <c r="I29" s="11"/>
      <c r="J29" s="11"/>
      <c r="K29" s="11"/>
      <c r="L29" s="11"/>
      <c r="M29" s="11"/>
      <c r="N29" s="11"/>
      <c r="O29" s="164" t="s">
        <v>306</v>
      </c>
      <c r="P29" s="164" t="s">
        <v>307</v>
      </c>
      <c r="Q29" s="164" t="s">
        <v>308</v>
      </c>
    </row>
    <row r="30" spans="2:17" ht="4.5" customHeight="1" x14ac:dyDescent="0.25"/>
    <row r="31" spans="2:17" x14ac:dyDescent="0.25">
      <c r="B31" s="167" t="s">
        <v>326</v>
      </c>
      <c r="C31" s="167"/>
      <c r="D31" s="167"/>
      <c r="E31" s="167"/>
      <c r="F31" s="167"/>
      <c r="G31" s="167"/>
      <c r="H31" s="167"/>
      <c r="I31" s="167"/>
      <c r="J31" s="167"/>
      <c r="K31" s="167"/>
      <c r="L31" s="167"/>
      <c r="M31" s="167"/>
      <c r="N31" s="167"/>
      <c r="O31" s="168">
        <f>O$25*K12</f>
        <v>535043.1469136005</v>
      </c>
      <c r="P31" s="168">
        <f t="shared" ref="P31" si="11">P$25*L12</f>
        <v>2122806.3108907668</v>
      </c>
      <c r="Q31" s="168">
        <f>Q32+Q33</f>
        <v>1656851.3982465973</v>
      </c>
    </row>
    <row r="32" spans="2:17" x14ac:dyDescent="0.25">
      <c r="B32" s="167" t="s">
        <v>303</v>
      </c>
      <c r="C32" s="167"/>
      <c r="D32" s="167"/>
      <c r="E32" s="167"/>
      <c r="F32" s="167"/>
      <c r="G32" s="167"/>
      <c r="H32" s="167"/>
      <c r="I32" s="167"/>
      <c r="J32" s="167"/>
      <c r="K32" s="167"/>
      <c r="L32" s="167"/>
      <c r="M32" s="167"/>
      <c r="N32" s="167"/>
      <c r="O32" s="168">
        <f>$G$12</f>
        <v>263073</v>
      </c>
      <c r="P32" s="168">
        <f t="shared" ref="P32:Q32" si="12">$G$12</f>
        <v>263073</v>
      </c>
      <c r="Q32" s="168">
        <f t="shared" si="12"/>
        <v>263073</v>
      </c>
    </row>
    <row r="33" spans="2:17" x14ac:dyDescent="0.25">
      <c r="B33" s="167" t="s">
        <v>327</v>
      </c>
      <c r="C33" s="167"/>
      <c r="D33" s="167"/>
      <c r="E33" s="167"/>
      <c r="F33" s="167"/>
      <c r="G33" s="167"/>
      <c r="H33" s="167"/>
      <c r="I33" s="167"/>
      <c r="J33" s="167"/>
      <c r="K33" s="167"/>
      <c r="L33" s="167"/>
      <c r="M33" s="167"/>
      <c r="N33" s="167"/>
      <c r="O33" s="168">
        <f>O31-O32</f>
        <v>271970.1469136005</v>
      </c>
      <c r="P33" s="168">
        <f t="shared" ref="P33" si="13">P31-P32</f>
        <v>1859733.3108907668</v>
      </c>
      <c r="Q33" s="168">
        <f>Q25*M12</f>
        <v>1393778.3982465973</v>
      </c>
    </row>
    <row r="34" spans="2:17" x14ac:dyDescent="0.25">
      <c r="B34" s="169" t="s">
        <v>301</v>
      </c>
      <c r="C34" s="169"/>
      <c r="D34" s="169"/>
      <c r="E34" s="169"/>
      <c r="F34" s="169"/>
      <c r="G34" s="169"/>
      <c r="H34" s="169"/>
      <c r="I34" s="169"/>
      <c r="J34" s="169"/>
      <c r="K34" s="169"/>
      <c r="L34" s="169"/>
      <c r="M34" s="169"/>
      <c r="N34" s="169"/>
      <c r="O34" s="170">
        <f>$E$12</f>
        <v>1353.25</v>
      </c>
      <c r="P34" s="170">
        <f t="shared" ref="P34:Q34" si="14">$E$12</f>
        <v>1353.25</v>
      </c>
      <c r="Q34" s="170">
        <f t="shared" si="14"/>
        <v>1353.25</v>
      </c>
    </row>
    <row r="35" spans="2:17" ht="15.75" thickBot="1" x14ac:dyDescent="0.3">
      <c r="B35" s="145" t="s">
        <v>328</v>
      </c>
      <c r="C35" s="145"/>
      <c r="D35" s="145"/>
      <c r="E35" s="145"/>
      <c r="F35" s="145"/>
      <c r="G35" s="145"/>
      <c r="H35" s="145"/>
      <c r="I35" s="145"/>
      <c r="J35" s="145"/>
      <c r="K35" s="145"/>
      <c r="L35" s="145"/>
      <c r="M35" s="145"/>
      <c r="N35" s="145"/>
      <c r="O35" s="171">
        <f>O33/O34</f>
        <v>200.97553808505486</v>
      </c>
      <c r="P35" s="171">
        <f t="shared" ref="P35:Q35" si="15">P33/P34</f>
        <v>1374.2717981827207</v>
      </c>
      <c r="Q35" s="171">
        <f t="shared" si="15"/>
        <v>1029.9489364467743</v>
      </c>
    </row>
    <row r="37" spans="2:17" x14ac:dyDescent="0.25">
      <c r="N37" s="172"/>
      <c r="O37" s="278" t="str">
        <f>IF(O35&lt;D12,"Undervalued","Overvalued")</f>
        <v>Undervalued</v>
      </c>
      <c r="P37" s="278" t="str">
        <f t="shared" ref="P37:Q37" si="16">IF(P35&lt;E12,"Undervalued","Overvalued")</f>
        <v>Overvalued</v>
      </c>
      <c r="Q37" s="278" t="str">
        <f t="shared" si="16"/>
        <v>Undervalued</v>
      </c>
    </row>
    <row r="39" spans="2:17" x14ac:dyDescent="0.25">
      <c r="B39" s="272"/>
      <c r="Q39" s="273"/>
    </row>
    <row r="40" spans="2:17" x14ac:dyDescent="0.25">
      <c r="B40" s="11"/>
      <c r="C40" s="11"/>
      <c r="D40" s="11"/>
      <c r="E40" s="11"/>
      <c r="F40" s="11"/>
      <c r="G40" s="11"/>
      <c r="H40" s="11"/>
      <c r="I40" s="11"/>
      <c r="J40" s="11"/>
      <c r="K40" s="11"/>
      <c r="L40" s="11"/>
      <c r="M40" s="11"/>
      <c r="N40" s="11"/>
      <c r="O40" s="11"/>
      <c r="P40" s="11"/>
      <c r="Q40" s="11"/>
    </row>
    <row r="43" spans="2:17" x14ac:dyDescent="0.25">
      <c r="Q43" s="273" t="s">
        <v>734</v>
      </c>
    </row>
    <row r="44" spans="2:17" x14ac:dyDescent="0.25">
      <c r="B44" s="272" t="s">
        <v>731</v>
      </c>
      <c r="Q44" s="273" t="s">
        <v>735</v>
      </c>
    </row>
    <row r="45" spans="2:17" x14ac:dyDescent="0.25">
      <c r="B45" s="272" t="s">
        <v>733</v>
      </c>
    </row>
  </sheetData>
  <mergeCells count="5">
    <mergeCell ref="B5:F5"/>
    <mergeCell ref="D9:I9"/>
    <mergeCell ref="K9:M9"/>
    <mergeCell ref="O9:Q9"/>
    <mergeCell ref="B1:F4"/>
  </mergeCells>
  <pageMargins left="0.25" right="0.25" top="0.75" bottom="0.75" header="0.3" footer="0.3"/>
  <pageSetup scale="5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2793B-7826-4F92-965F-530A43D13B2C}">
  <sheetPr>
    <pageSetUpPr fitToPage="1"/>
  </sheetPr>
  <dimension ref="B1:Q38"/>
  <sheetViews>
    <sheetView showGridLines="0" view="pageBreakPreview" zoomScale="60" zoomScaleNormal="100" workbookViewId="0">
      <selection activeCell="G5" sqref="G5"/>
    </sheetView>
  </sheetViews>
  <sheetFormatPr defaultRowHeight="15" x14ac:dyDescent="0.25"/>
  <cols>
    <col min="1" max="1" width="2.28515625" customWidth="1"/>
    <col min="13" max="13" width="10.28515625" bestFit="1" customWidth="1"/>
    <col min="14" max="14" width="7.28515625" customWidth="1"/>
    <col min="15" max="15" width="10.28515625" bestFit="1" customWidth="1"/>
  </cols>
  <sheetData>
    <row r="1" spans="2:16" x14ac:dyDescent="0.25">
      <c r="B1" s="334" t="str">
        <f>'Data Sheet'!B1</f>
        <v>RELIANCE INDUSTRIES LTD</v>
      </c>
      <c r="C1" s="334"/>
      <c r="D1" s="334"/>
      <c r="E1" s="334"/>
      <c r="F1" s="334"/>
      <c r="G1" s="11"/>
      <c r="H1" s="11"/>
      <c r="I1" s="11"/>
      <c r="J1" s="11"/>
      <c r="K1" s="11"/>
      <c r="L1" s="11"/>
      <c r="M1" s="11"/>
      <c r="N1" s="11"/>
      <c r="O1" s="11"/>
      <c r="P1" s="11"/>
    </row>
    <row r="2" spans="2:16" ht="21" x14ac:dyDescent="0.25">
      <c r="B2" s="334"/>
      <c r="C2" s="334"/>
      <c r="D2" s="334"/>
      <c r="E2" s="334"/>
      <c r="F2" s="334"/>
      <c r="G2" s="57"/>
      <c r="H2" s="11"/>
      <c r="I2" s="11"/>
      <c r="J2" s="11"/>
      <c r="K2" s="11"/>
      <c r="L2" s="11"/>
      <c r="M2" s="11"/>
      <c r="N2" s="11"/>
      <c r="O2" s="11"/>
      <c r="P2" s="11"/>
    </row>
    <row r="3" spans="2:16" ht="21" x14ac:dyDescent="0.25">
      <c r="B3" s="334"/>
      <c r="C3" s="334"/>
      <c r="D3" s="334"/>
      <c r="E3" s="334"/>
      <c r="F3" s="334"/>
      <c r="G3" s="57"/>
      <c r="H3" s="11"/>
      <c r="I3" s="11"/>
      <c r="J3" s="11"/>
      <c r="K3" s="11"/>
      <c r="L3" s="11"/>
      <c r="M3" s="11"/>
      <c r="N3" s="11"/>
      <c r="O3" s="11"/>
      <c r="P3" s="11"/>
    </row>
    <row r="4" spans="2:16" ht="15.75" x14ac:dyDescent="0.25">
      <c r="B4" s="314" t="s">
        <v>63</v>
      </c>
      <c r="C4" s="314"/>
      <c r="D4" s="314"/>
      <c r="E4" s="314"/>
      <c r="F4" s="314"/>
      <c r="G4" s="58"/>
      <c r="H4" s="11"/>
      <c r="I4" s="11"/>
      <c r="J4" s="11"/>
      <c r="K4" s="11"/>
      <c r="L4" s="11"/>
      <c r="M4" s="11"/>
      <c r="N4" s="11"/>
      <c r="O4" s="11"/>
      <c r="P4" s="11"/>
    </row>
    <row r="5" spans="2:16" ht="15.75" x14ac:dyDescent="0.25">
      <c r="B5" s="58"/>
      <c r="C5" s="58"/>
      <c r="D5" s="58"/>
      <c r="E5" s="58"/>
      <c r="F5" s="58"/>
      <c r="G5" s="58"/>
      <c r="H5" s="11"/>
      <c r="I5" s="11"/>
      <c r="J5" s="11"/>
      <c r="K5" s="11"/>
      <c r="L5" s="11"/>
      <c r="M5" s="11"/>
      <c r="N5" s="11"/>
      <c r="O5" s="11"/>
      <c r="P5" s="11"/>
    </row>
    <row r="6" spans="2:16" ht="15.75" x14ac:dyDescent="0.25">
      <c r="B6" s="58"/>
      <c r="C6" s="58"/>
      <c r="D6" s="58"/>
      <c r="E6" s="58"/>
      <c r="F6" s="58"/>
      <c r="G6" s="58"/>
      <c r="H6" s="11"/>
      <c r="I6" s="11"/>
      <c r="J6" s="11"/>
      <c r="K6" s="11"/>
      <c r="L6" s="11"/>
      <c r="M6" s="11"/>
      <c r="N6" s="11"/>
      <c r="O6" s="11"/>
      <c r="P6" s="11"/>
    </row>
    <row r="9" spans="2:16" ht="15.75" thickBot="1" x14ac:dyDescent="0.3">
      <c r="K9" s="11"/>
      <c r="L9" s="11"/>
      <c r="M9" s="11"/>
      <c r="N9" s="11"/>
      <c r="O9" s="11"/>
      <c r="P9" s="11"/>
    </row>
    <row r="10" spans="2:16" x14ac:dyDescent="0.25">
      <c r="K10" s="240"/>
      <c r="L10" s="240"/>
      <c r="M10" s="240" t="s">
        <v>336</v>
      </c>
      <c r="N10" s="240" t="s">
        <v>325</v>
      </c>
      <c r="O10" s="240" t="s">
        <v>337</v>
      </c>
      <c r="P10" s="240" t="s">
        <v>322</v>
      </c>
    </row>
    <row r="11" spans="2:16" x14ac:dyDescent="0.25">
      <c r="K11" s="24" t="s">
        <v>331</v>
      </c>
      <c r="L11" s="24"/>
      <c r="M11" s="288">
        <f>N11</f>
        <v>200.97553808505486</v>
      </c>
      <c r="N11" s="288">
        <f>'Comp Company'!O35</f>
        <v>200.97553808505486</v>
      </c>
      <c r="O11" s="288">
        <f>'Comp Company'!Q35</f>
        <v>1029.9489364467743</v>
      </c>
      <c r="P11" s="288">
        <f>O11</f>
        <v>1029.9489364467743</v>
      </c>
    </row>
    <row r="12" spans="2:16" x14ac:dyDescent="0.25">
      <c r="K12" s="24" t="s">
        <v>332</v>
      </c>
      <c r="L12" s="24"/>
      <c r="M12" s="288">
        <f t="shared" ref="M12:M14" si="0">N12</f>
        <v>681.63646721302155</v>
      </c>
      <c r="N12" s="289">
        <f>DCF!H36</f>
        <v>681.63646721302155</v>
      </c>
      <c r="O12" s="289">
        <f>DCF!H40</f>
        <v>3609.9715796752753</v>
      </c>
      <c r="P12" s="288">
        <f t="shared" ref="P12:P14" si="1">O12</f>
        <v>3609.9715796752753</v>
      </c>
    </row>
    <row r="13" spans="2:16" x14ac:dyDescent="0.25">
      <c r="K13" s="24" t="s">
        <v>333</v>
      </c>
      <c r="L13" s="24"/>
      <c r="M13" s="288">
        <f t="shared" si="0"/>
        <v>428.03881858475478</v>
      </c>
      <c r="N13" s="289">
        <f>DCF!I36</f>
        <v>428.03881858475478</v>
      </c>
      <c r="O13" s="289">
        <f>DCF!I40</f>
        <v>952.40717966672332</v>
      </c>
      <c r="P13" s="288">
        <f t="shared" si="1"/>
        <v>952.40717966672332</v>
      </c>
    </row>
    <row r="14" spans="2:16" x14ac:dyDescent="0.25">
      <c r="K14" s="24" t="s">
        <v>334</v>
      </c>
      <c r="L14" s="24"/>
      <c r="M14" s="288">
        <f t="shared" si="0"/>
        <v>282.31804278635099</v>
      </c>
      <c r="N14" s="289">
        <f>DCF!K36</f>
        <v>282.31804278635099</v>
      </c>
      <c r="O14" s="289">
        <f>DCF!K40</f>
        <v>472.46967346571779</v>
      </c>
      <c r="P14" s="288">
        <f t="shared" si="1"/>
        <v>472.46967346571779</v>
      </c>
    </row>
    <row r="15" spans="2:16" ht="15.75" thickBot="1" x14ac:dyDescent="0.3">
      <c r="K15" s="111" t="s">
        <v>335</v>
      </c>
      <c r="L15" s="111"/>
      <c r="M15" s="290">
        <v>1551</v>
      </c>
      <c r="N15" s="290">
        <v>1551</v>
      </c>
      <c r="O15" s="290">
        <v>1114</v>
      </c>
      <c r="P15" s="290">
        <v>1114</v>
      </c>
    </row>
    <row r="26" spans="3:16" x14ac:dyDescent="0.25">
      <c r="C26" s="272"/>
      <c r="P26" s="273"/>
    </row>
    <row r="27" spans="3:16" x14ac:dyDescent="0.25">
      <c r="C27" s="272"/>
      <c r="P27" s="273"/>
    </row>
    <row r="28" spans="3:16" x14ac:dyDescent="0.25">
      <c r="C28" s="272"/>
      <c r="P28" s="273"/>
    </row>
    <row r="29" spans="3:16" x14ac:dyDescent="0.25">
      <c r="C29" s="272"/>
      <c r="P29" s="273"/>
    </row>
    <row r="35" spans="2:17" x14ac:dyDescent="0.25">
      <c r="B35" s="11"/>
      <c r="C35" s="11"/>
      <c r="D35" s="11"/>
      <c r="E35" s="11"/>
      <c r="F35" s="11"/>
      <c r="G35" s="11"/>
      <c r="H35" s="11"/>
      <c r="I35" s="11"/>
      <c r="J35" s="11"/>
      <c r="K35" s="11"/>
      <c r="L35" s="11"/>
      <c r="M35" s="11"/>
      <c r="N35" s="11"/>
      <c r="O35" s="11"/>
      <c r="P35" s="11"/>
    </row>
    <row r="37" spans="2:17" x14ac:dyDescent="0.25">
      <c r="C37" s="272" t="s">
        <v>731</v>
      </c>
      <c r="P37" s="273" t="s">
        <v>734</v>
      </c>
      <c r="Q37" s="273"/>
    </row>
    <row r="38" spans="2:17" x14ac:dyDescent="0.25">
      <c r="C38" s="272" t="s">
        <v>733</v>
      </c>
      <c r="P38" s="273" t="s">
        <v>735</v>
      </c>
      <c r="Q38" s="273"/>
    </row>
  </sheetData>
  <mergeCells count="2">
    <mergeCell ref="B4:F4"/>
    <mergeCell ref="B1:F3"/>
  </mergeCells>
  <pageMargins left="0.25" right="0.25" top="0.75" bottom="0.75" header="0.3" footer="0.3"/>
  <pageSetup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B7B3-0209-407C-A3D7-D9819E08E8A5}">
  <sheetPr>
    <pageSetUpPr fitToPage="1"/>
  </sheetPr>
  <dimension ref="B1:N256"/>
  <sheetViews>
    <sheetView showGridLines="0" view="pageBreakPreview" topLeftCell="B31" zoomScale="80" zoomScaleNormal="93" zoomScaleSheetLayoutView="80" workbookViewId="0">
      <selection activeCell="M67" sqref="M67"/>
    </sheetView>
  </sheetViews>
  <sheetFormatPr defaultRowHeight="15" x14ac:dyDescent="0.25"/>
  <cols>
    <col min="1" max="1" width="1.5703125" customWidth="1"/>
    <col min="2" max="2" width="10.85546875" bestFit="1" customWidth="1"/>
    <col min="4" max="4" width="9.28515625" bestFit="1" customWidth="1"/>
    <col min="5" max="5" width="15.7109375" bestFit="1" customWidth="1"/>
    <col min="6" max="6" width="11" bestFit="1" customWidth="1"/>
    <col min="7" max="7" width="18.28515625" bestFit="1" customWidth="1"/>
    <col min="8" max="8" width="2.140625" customWidth="1"/>
    <col min="9" max="9" width="23.140625" bestFit="1" customWidth="1"/>
    <col min="10" max="10" width="11.140625" bestFit="1" customWidth="1"/>
    <col min="11" max="11" width="13.7109375" customWidth="1"/>
    <col min="12" max="12" width="12.28515625" customWidth="1"/>
    <col min="13" max="13" width="10.28515625" customWidth="1"/>
    <col min="14" max="14" width="2.140625" hidden="1" customWidth="1"/>
  </cols>
  <sheetData>
    <row r="1" spans="2:13" x14ac:dyDescent="0.25">
      <c r="B1" s="307" t="str">
        <f>'Data Sheet'!B1</f>
        <v>RELIANCE INDUSTRIES LTD</v>
      </c>
      <c r="C1" s="307"/>
      <c r="D1" s="307"/>
      <c r="E1" s="307"/>
      <c r="F1" s="307"/>
      <c r="G1" s="11"/>
      <c r="H1" s="11"/>
      <c r="I1" s="11"/>
      <c r="J1" s="11"/>
      <c r="K1" s="11"/>
      <c r="L1" s="11"/>
      <c r="M1" s="11"/>
    </row>
    <row r="2" spans="2:13" x14ac:dyDescent="0.25">
      <c r="B2" s="307"/>
      <c r="C2" s="307"/>
      <c r="D2" s="307"/>
      <c r="E2" s="307"/>
      <c r="F2" s="307"/>
      <c r="G2" s="11"/>
      <c r="H2" s="11"/>
      <c r="I2" s="11"/>
      <c r="J2" s="11"/>
      <c r="K2" s="11"/>
      <c r="L2" s="11"/>
      <c r="M2" s="11"/>
    </row>
    <row r="3" spans="2:13" x14ac:dyDescent="0.25">
      <c r="B3" s="307"/>
      <c r="C3" s="307"/>
      <c r="D3" s="307"/>
      <c r="E3" s="307"/>
      <c r="F3" s="307"/>
      <c r="G3" s="11"/>
      <c r="H3" s="11"/>
      <c r="I3" s="11"/>
      <c r="J3" s="11"/>
      <c r="K3" s="11"/>
      <c r="L3" s="11"/>
      <c r="M3" s="11"/>
    </row>
    <row r="4" spans="2:13" ht="15" customHeight="1" x14ac:dyDescent="0.25">
      <c r="B4" s="307"/>
      <c r="C4" s="307"/>
      <c r="D4" s="307"/>
      <c r="E4" s="307"/>
      <c r="F4" s="307"/>
      <c r="G4" s="11"/>
      <c r="H4" s="11"/>
      <c r="I4" s="11"/>
      <c r="J4" s="11"/>
      <c r="K4" s="11"/>
      <c r="L4" s="11"/>
      <c r="M4" s="11"/>
    </row>
    <row r="5" spans="2:13" ht="21" x14ac:dyDescent="0.25">
      <c r="B5" s="307"/>
      <c r="C5" s="307"/>
      <c r="D5" s="307"/>
      <c r="E5" s="307"/>
      <c r="F5" s="307"/>
      <c r="G5" s="57"/>
      <c r="H5" s="11"/>
      <c r="I5" s="11"/>
      <c r="J5" s="11"/>
      <c r="K5" s="11"/>
      <c r="L5" s="11"/>
      <c r="M5" s="11"/>
    </row>
    <row r="6" spans="2:13" ht="21" x14ac:dyDescent="0.25">
      <c r="B6" s="321" t="s">
        <v>63</v>
      </c>
      <c r="C6" s="321"/>
      <c r="D6" s="321"/>
      <c r="E6" s="321"/>
      <c r="F6" s="321"/>
      <c r="G6" s="58"/>
      <c r="H6" s="11"/>
      <c r="I6" s="11"/>
      <c r="J6" s="11"/>
      <c r="K6" s="11"/>
      <c r="L6" s="11"/>
      <c r="M6" s="11"/>
    </row>
    <row r="8" spans="2:13" x14ac:dyDescent="0.25">
      <c r="B8" t="s">
        <v>157</v>
      </c>
      <c r="C8" t="s">
        <v>338</v>
      </c>
      <c r="D8" t="s">
        <v>339</v>
      </c>
      <c r="E8" t="s">
        <v>340</v>
      </c>
      <c r="F8" t="s">
        <v>352</v>
      </c>
      <c r="G8" t="s">
        <v>353</v>
      </c>
      <c r="I8" s="11"/>
      <c r="J8" s="11"/>
      <c r="K8" s="11"/>
      <c r="L8" s="11"/>
      <c r="M8" s="11"/>
    </row>
    <row r="9" spans="2:13" x14ac:dyDescent="0.25">
      <c r="B9" s="190">
        <v>43834</v>
      </c>
      <c r="C9">
        <v>659.21</v>
      </c>
      <c r="D9" s="49">
        <f t="shared" ref="D9:D72" si="0">(C9-C10)/C10</f>
        <v>4.7322608695652173</v>
      </c>
      <c r="E9">
        <v>0.31626133141647705</v>
      </c>
      <c r="F9" s="191">
        <v>1</v>
      </c>
      <c r="G9" s="251">
        <f ca="1">_xlfn.NORM.INV(RAND(),M$11,M$12)</f>
        <v>0.17590248150883087</v>
      </c>
      <c r="H9" s="4"/>
    </row>
    <row r="10" spans="2:13" x14ac:dyDescent="0.25">
      <c r="B10" s="190">
        <v>38721</v>
      </c>
      <c r="C10">
        <v>115</v>
      </c>
      <c r="D10" s="49">
        <f t="shared" si="0"/>
        <v>-0.54972592012529364</v>
      </c>
      <c r="E10">
        <v>0.28620959624203113</v>
      </c>
      <c r="F10" s="191">
        <v>2</v>
      </c>
      <c r="G10" s="251">
        <f t="shared" ref="G10:G72" ca="1" si="1">_xlfn.NORM.INV(RAND(),M$11,M$12)</f>
        <v>-0.10664042738563412</v>
      </c>
      <c r="H10" s="4"/>
      <c r="I10" s="95" t="s">
        <v>341</v>
      </c>
      <c r="J10" s="68"/>
      <c r="K10" s="68"/>
      <c r="L10" s="68"/>
      <c r="M10" s="68"/>
    </row>
    <row r="11" spans="2:13" x14ac:dyDescent="0.25">
      <c r="B11" s="190">
        <v>39818</v>
      </c>
      <c r="C11">
        <v>255.4</v>
      </c>
      <c r="D11" s="49">
        <f t="shared" si="0"/>
        <v>-0.52109506844177766</v>
      </c>
      <c r="E11">
        <v>0.25781827136173352</v>
      </c>
      <c r="F11" s="191">
        <v>3</v>
      </c>
      <c r="G11" s="251">
        <f t="shared" ca="1" si="1"/>
        <v>-4.6926985254210338E-2</v>
      </c>
      <c r="H11" s="4"/>
      <c r="I11" s="197" t="s">
        <v>342</v>
      </c>
      <c r="J11" s="129"/>
      <c r="K11" s="129"/>
      <c r="L11" s="129"/>
      <c r="M11" s="192">
        <f>AVERAGE(E9:E255)</f>
        <v>1.7256506158688418E-2</v>
      </c>
    </row>
    <row r="12" spans="2:13" x14ac:dyDescent="0.25">
      <c r="B12" s="190">
        <v>43107</v>
      </c>
      <c r="C12">
        <v>533.29999999999995</v>
      </c>
      <c r="D12" s="49">
        <f t="shared" si="0"/>
        <v>-0.43164378889930949</v>
      </c>
      <c r="E12">
        <v>0.21958470545188435</v>
      </c>
      <c r="F12" s="191">
        <v>4</v>
      </c>
      <c r="G12" s="251">
        <f t="shared" ca="1" si="1"/>
        <v>-7.3732171692712206E-2</v>
      </c>
      <c r="H12" s="4"/>
      <c r="I12" s="27" t="s">
        <v>343</v>
      </c>
      <c r="J12" s="24"/>
      <c r="K12" s="24"/>
      <c r="L12" s="24"/>
      <c r="M12" s="193">
        <f>_xlfn.STDEV.S(E9:E255)</f>
        <v>8.5884756145009344E-2</v>
      </c>
    </row>
    <row r="13" spans="2:13" x14ac:dyDescent="0.25">
      <c r="B13" s="190">
        <v>43837</v>
      </c>
      <c r="C13">
        <v>938.32</v>
      </c>
      <c r="D13" s="49">
        <f t="shared" si="0"/>
        <v>1.9983064387282319</v>
      </c>
      <c r="E13">
        <v>0.21302065827235836</v>
      </c>
      <c r="F13" s="191">
        <v>5</v>
      </c>
      <c r="G13" s="251">
        <f t="shared" ca="1" si="1"/>
        <v>1.6123342157099423E-2</v>
      </c>
      <c r="H13" s="4"/>
      <c r="I13" s="27" t="s">
        <v>344</v>
      </c>
      <c r="J13" s="24"/>
      <c r="K13" s="24"/>
      <c r="L13" s="24"/>
      <c r="M13" s="193">
        <f>MIN(E9:E255)</f>
        <v>-0.29442365611024907</v>
      </c>
    </row>
    <row r="14" spans="2:13" x14ac:dyDescent="0.25">
      <c r="B14" s="190">
        <v>39092</v>
      </c>
      <c r="C14">
        <v>312.95</v>
      </c>
      <c r="D14" s="49">
        <f t="shared" si="0"/>
        <v>-0.26028789562011018</v>
      </c>
      <c r="E14">
        <v>0.21138809321049787</v>
      </c>
      <c r="F14" s="191">
        <v>6</v>
      </c>
      <c r="G14" s="251">
        <f t="shared" ca="1" si="1"/>
        <v>-8.6156496240118008E-2</v>
      </c>
      <c r="H14" s="4"/>
      <c r="I14" s="27" t="s">
        <v>345</v>
      </c>
      <c r="J14" s="24"/>
      <c r="K14" s="24"/>
      <c r="L14" s="24"/>
      <c r="M14" s="193">
        <f>MAX(E9:E255)</f>
        <v>0.31626133141647705</v>
      </c>
    </row>
    <row r="15" spans="2:13" x14ac:dyDescent="0.25">
      <c r="B15" s="190">
        <v>42745</v>
      </c>
      <c r="C15">
        <v>423.07</v>
      </c>
      <c r="D15" s="49">
        <f t="shared" si="0"/>
        <v>1.468175719036229</v>
      </c>
      <c r="E15">
        <v>0.20484706954491089</v>
      </c>
      <c r="F15" s="191">
        <v>7</v>
      </c>
      <c r="G15" s="251">
        <f t="shared" ca="1" si="1"/>
        <v>-1.2938680174274728E-4</v>
      </c>
      <c r="H15" s="4"/>
      <c r="I15" s="27" t="s">
        <v>346</v>
      </c>
      <c r="J15" s="24"/>
      <c r="K15" s="24"/>
      <c r="L15" s="24"/>
      <c r="M15" s="24">
        <v>1366.3</v>
      </c>
    </row>
    <row r="16" spans="2:13" x14ac:dyDescent="0.25">
      <c r="B16" s="190">
        <v>39816</v>
      </c>
      <c r="C16">
        <v>171.41</v>
      </c>
      <c r="D16" s="49">
        <f t="shared" si="0"/>
        <v>2.1336380255941498</v>
      </c>
      <c r="E16">
        <v>0.20431391835874363</v>
      </c>
      <c r="F16" s="191">
        <v>8</v>
      </c>
      <c r="G16" s="251">
        <f t="shared" ca="1" si="1"/>
        <v>-0.12120040944083831</v>
      </c>
      <c r="H16" s="4"/>
    </row>
    <row r="17" spans="2:13" x14ac:dyDescent="0.25">
      <c r="B17" s="190">
        <v>38358</v>
      </c>
      <c r="C17">
        <v>54.7</v>
      </c>
      <c r="D17" s="49">
        <f t="shared" si="0"/>
        <v>-0.73060822457522789</v>
      </c>
      <c r="E17">
        <v>0.20087815587266752</v>
      </c>
      <c r="F17" s="191">
        <v>9</v>
      </c>
      <c r="G17" s="251">
        <f t="shared" ca="1" si="1"/>
        <v>-5.9819827070443837E-2</v>
      </c>
      <c r="H17" s="4"/>
      <c r="I17" s="2" t="s">
        <v>354</v>
      </c>
    </row>
    <row r="18" spans="2:13" x14ac:dyDescent="0.25">
      <c r="B18" s="190">
        <v>39817</v>
      </c>
      <c r="C18">
        <v>203.05</v>
      </c>
      <c r="D18" s="49">
        <f t="shared" si="0"/>
        <v>-0.27054892944388559</v>
      </c>
      <c r="E18">
        <v>0.18458666355521858</v>
      </c>
      <c r="F18" s="191">
        <v>10</v>
      </c>
      <c r="G18" s="251">
        <f t="shared" ca="1" si="1"/>
        <v>-0.11946561050780648</v>
      </c>
      <c r="H18" s="4"/>
      <c r="I18" s="197" t="s">
        <v>342</v>
      </c>
      <c r="J18" s="129"/>
      <c r="K18" s="129"/>
      <c r="L18" s="129"/>
      <c r="M18" s="192">
        <f ca="1">AVERAGE(G9:G255)</f>
        <v>1.2357160224712499E-2</v>
      </c>
    </row>
    <row r="19" spans="2:13" x14ac:dyDescent="0.25">
      <c r="B19" s="190">
        <v>42737</v>
      </c>
      <c r="C19">
        <v>278.36</v>
      </c>
      <c r="D19" s="49">
        <f t="shared" si="0"/>
        <v>0.51521419628762721</v>
      </c>
      <c r="E19">
        <v>0.1845106382978724</v>
      </c>
      <c r="F19" s="191">
        <v>11</v>
      </c>
      <c r="G19" s="251">
        <f t="shared" ca="1" si="1"/>
        <v>-2.0105976945960741E-2</v>
      </c>
      <c r="H19" s="4"/>
      <c r="I19" s="27" t="s">
        <v>343</v>
      </c>
      <c r="J19" s="24"/>
      <c r="K19" s="24"/>
      <c r="L19" s="24"/>
      <c r="M19" s="193">
        <f ca="1">_xlfn.STDEV.S(G9:G255)</f>
        <v>8.2296348064960792E-2</v>
      </c>
    </row>
    <row r="20" spans="2:13" x14ac:dyDescent="0.25">
      <c r="B20" s="190">
        <v>40909</v>
      </c>
      <c r="C20">
        <v>183.71</v>
      </c>
      <c r="D20" s="49">
        <f t="shared" si="0"/>
        <v>-0.28888286753890213</v>
      </c>
      <c r="E20">
        <v>0.1791399229781771</v>
      </c>
      <c r="F20" s="191">
        <v>12</v>
      </c>
      <c r="G20" s="251">
        <f t="shared" ca="1" si="1"/>
        <v>-5.551361164966119E-2</v>
      </c>
      <c r="H20" s="4"/>
      <c r="I20" s="27" t="s">
        <v>344</v>
      </c>
      <c r="J20" s="24"/>
      <c r="K20" s="24"/>
      <c r="L20" s="24"/>
      <c r="M20" s="193">
        <f ca="1">MIN(G9:G255)</f>
        <v>-0.25325649529484695</v>
      </c>
    </row>
    <row r="21" spans="2:13" x14ac:dyDescent="0.25">
      <c r="B21" s="190">
        <v>39091</v>
      </c>
      <c r="C21">
        <v>258.33999999999997</v>
      </c>
      <c r="D21" s="49">
        <f t="shared" si="0"/>
        <v>-0.28861352058378081</v>
      </c>
      <c r="E21">
        <v>0.17192886953365985</v>
      </c>
      <c r="F21" s="191">
        <v>13</v>
      </c>
      <c r="G21" s="251">
        <f t="shared" ca="1" si="1"/>
        <v>0.18878819548170092</v>
      </c>
      <c r="H21" s="4"/>
      <c r="I21" s="27" t="s">
        <v>345</v>
      </c>
      <c r="J21" s="24"/>
      <c r="K21" s="24"/>
      <c r="L21" s="24"/>
      <c r="M21" s="193">
        <f ca="1">MAX(G9:G255)</f>
        <v>0.26477326403518592</v>
      </c>
    </row>
    <row r="22" spans="2:13" x14ac:dyDescent="0.25">
      <c r="B22" s="190">
        <v>42742</v>
      </c>
      <c r="C22">
        <v>363.15</v>
      </c>
      <c r="D22" s="49">
        <f t="shared" si="0"/>
        <v>-0.53053494324792516</v>
      </c>
      <c r="E22">
        <v>0.1704322042092371</v>
      </c>
      <c r="F22" s="191">
        <v>14</v>
      </c>
      <c r="G22" s="251">
        <f t="shared" ca="1" si="1"/>
        <v>6.9952353201615039E-2</v>
      </c>
      <c r="H22" s="4"/>
      <c r="I22" s="27" t="s">
        <v>346</v>
      </c>
      <c r="J22" s="24"/>
      <c r="K22" s="24"/>
      <c r="L22" s="24"/>
      <c r="M22" s="24">
        <v>1366.3</v>
      </c>
    </row>
    <row r="23" spans="2:13" x14ac:dyDescent="0.25">
      <c r="B23" s="190">
        <v>43836</v>
      </c>
      <c r="C23">
        <v>773.54</v>
      </c>
      <c r="D23" s="49">
        <f t="shared" si="0"/>
        <v>2.6965497467265602</v>
      </c>
      <c r="E23">
        <v>0.16369052096339859</v>
      </c>
      <c r="F23" s="191">
        <v>15</v>
      </c>
      <c r="G23" s="251">
        <f t="shared" ca="1" si="1"/>
        <v>2.9258888701568203E-2</v>
      </c>
      <c r="H23" s="4"/>
    </row>
    <row r="24" spans="2:13" x14ac:dyDescent="0.25">
      <c r="B24" s="190">
        <v>41642</v>
      </c>
      <c r="C24">
        <v>209.26</v>
      </c>
      <c r="D24" s="49">
        <f t="shared" si="0"/>
        <v>-0.28801333741621593</v>
      </c>
      <c r="E24">
        <v>0.16346046925386398</v>
      </c>
      <c r="F24" s="191">
        <v>16</v>
      </c>
      <c r="G24" s="251">
        <f t="shared" ca="1" si="1"/>
        <v>-4.5339211437745969E-2</v>
      </c>
      <c r="H24" s="4"/>
      <c r="I24" s="2" t="s">
        <v>347</v>
      </c>
      <c r="J24" s="196" t="s">
        <v>348</v>
      </c>
      <c r="K24" s="196" t="s">
        <v>349</v>
      </c>
      <c r="L24" s="196" t="s">
        <v>350</v>
      </c>
      <c r="M24" s="196" t="s">
        <v>351</v>
      </c>
    </row>
    <row r="25" spans="2:13" x14ac:dyDescent="0.25">
      <c r="B25" s="190">
        <v>39451</v>
      </c>
      <c r="C25">
        <v>293.91000000000003</v>
      </c>
      <c r="D25" s="49">
        <f t="shared" si="0"/>
        <v>1.3398614759971341</v>
      </c>
      <c r="E25">
        <v>0.15390051431039228</v>
      </c>
      <c r="F25" s="191">
        <v>17</v>
      </c>
      <c r="G25" s="251">
        <f t="shared" ca="1" si="1"/>
        <v>-4.088548343334357E-2</v>
      </c>
      <c r="H25" s="4"/>
      <c r="I25" s="198">
        <v>0.05</v>
      </c>
      <c r="J25" s="194">
        <f>100%-I25</f>
        <v>0.95</v>
      </c>
      <c r="K25" s="200">
        <f ca="1">PERCENTILE($G$9:$G$256,I25)</f>
        <v>-0.11648852470105139</v>
      </c>
      <c r="L25" s="200">
        <f ca="1">$M$15*(1-K25)</f>
        <v>1525.4582712990466</v>
      </c>
      <c r="M25" s="200">
        <f ca="1">M15-L25</f>
        <v>-159.15827129904665</v>
      </c>
    </row>
    <row r="26" spans="2:13" x14ac:dyDescent="0.25">
      <c r="B26" s="190">
        <v>38725</v>
      </c>
      <c r="C26">
        <v>125.61</v>
      </c>
      <c r="D26" s="49">
        <f t="shared" si="0"/>
        <v>-0.44138575113403899</v>
      </c>
      <c r="E26">
        <v>0.14159774606925382</v>
      </c>
      <c r="F26" s="191">
        <v>18</v>
      </c>
      <c r="G26" s="251">
        <f t="shared" ca="1" si="1"/>
        <v>0.10681013263073023</v>
      </c>
      <c r="H26" s="4"/>
      <c r="I26" s="199">
        <v>0.01</v>
      </c>
      <c r="J26" s="195">
        <f t="shared" ref="J26:J28" si="2">100%-I26</f>
        <v>0.99</v>
      </c>
      <c r="K26" s="201">
        <f t="shared" ref="K26:K28" ca="1" si="3">PERCENTILE($G$9:$G$256,I26)</f>
        <v>-0.16127278364174538</v>
      </c>
      <c r="L26" s="201">
        <f t="shared" ref="L26:L28" ca="1" si="4">$M$15*(1-K26)</f>
        <v>1586.6470042897167</v>
      </c>
      <c r="M26" s="201">
        <f t="shared" ref="M26:M28" ca="1" si="5">M16-L26</f>
        <v>-1586.6470042897167</v>
      </c>
    </row>
    <row r="27" spans="2:13" x14ac:dyDescent="0.25">
      <c r="B27" s="190">
        <v>42010</v>
      </c>
      <c r="C27">
        <v>224.86</v>
      </c>
      <c r="D27" s="49">
        <f t="shared" si="0"/>
        <v>0.28132657131460481</v>
      </c>
      <c r="E27">
        <v>0.14037934881833861</v>
      </c>
      <c r="F27" s="191">
        <v>19</v>
      </c>
      <c r="G27" s="251">
        <f t="shared" ca="1" si="1"/>
        <v>-6.8571875514574568E-3</v>
      </c>
      <c r="H27" s="4"/>
      <c r="I27" s="199">
        <v>5.0000000000000001E-3</v>
      </c>
      <c r="J27" s="195">
        <f t="shared" si="2"/>
        <v>0.995</v>
      </c>
      <c r="K27" s="201">
        <f t="shared" ca="1" si="3"/>
        <v>-0.1769704371578856</v>
      </c>
      <c r="L27" s="201">
        <f t="shared" ca="1" si="4"/>
        <v>1608.094708288819</v>
      </c>
      <c r="M27" s="201">
        <f t="shared" ca="1" si="5"/>
        <v>-1608.094708288819</v>
      </c>
    </row>
    <row r="28" spans="2:13" x14ac:dyDescent="0.25">
      <c r="B28" s="190">
        <v>39086</v>
      </c>
      <c r="C28">
        <v>175.49</v>
      </c>
      <c r="D28" s="49">
        <f t="shared" si="0"/>
        <v>-0.26689781936669726</v>
      </c>
      <c r="E28">
        <v>0.13924954557257868</v>
      </c>
      <c r="F28" s="191">
        <v>20</v>
      </c>
      <c r="G28" s="251">
        <f t="shared" ca="1" si="1"/>
        <v>-4.7234133198606927E-3</v>
      </c>
      <c r="H28" s="4"/>
      <c r="I28" s="199">
        <v>0.1</v>
      </c>
      <c r="J28" s="195">
        <f t="shared" si="2"/>
        <v>0.9</v>
      </c>
      <c r="K28" s="201">
        <f t="shared" ca="1" si="3"/>
        <v>-8.6543214954563116E-2</v>
      </c>
      <c r="L28" s="201">
        <f t="shared" ca="1" si="4"/>
        <v>1484.5439945924195</v>
      </c>
      <c r="M28" s="201">
        <f t="shared" ca="1" si="5"/>
        <v>-1484.5316374321949</v>
      </c>
    </row>
    <row r="29" spans="2:13" x14ac:dyDescent="0.25">
      <c r="B29" s="190">
        <v>41644</v>
      </c>
      <c r="C29">
        <v>239.38</v>
      </c>
      <c r="D29" s="49">
        <f t="shared" si="0"/>
        <v>-0.74717208310009398</v>
      </c>
      <c r="E29">
        <v>0.13773764258555127</v>
      </c>
      <c r="F29" s="191">
        <v>21</v>
      </c>
      <c r="G29" s="251">
        <f t="shared" ca="1" si="1"/>
        <v>0.16674743717649804</v>
      </c>
      <c r="H29" s="4"/>
    </row>
    <row r="30" spans="2:13" x14ac:dyDescent="0.25">
      <c r="B30" s="190">
        <v>44198</v>
      </c>
      <c r="C30">
        <v>946.81</v>
      </c>
      <c r="D30" s="49">
        <f t="shared" si="0"/>
        <v>3.7886405017196032</v>
      </c>
      <c r="E30">
        <v>0.13239884704165711</v>
      </c>
      <c r="F30" s="191">
        <v>22</v>
      </c>
      <c r="G30" s="251">
        <f t="shared" ca="1" si="1"/>
        <v>9.1024768446399534E-2</v>
      </c>
      <c r="H30" s="4"/>
    </row>
    <row r="31" spans="2:13" x14ac:dyDescent="0.25">
      <c r="B31" s="190">
        <v>39087</v>
      </c>
      <c r="C31">
        <v>197.72</v>
      </c>
      <c r="D31" s="49">
        <f t="shared" si="0"/>
        <v>1.21138575103456</v>
      </c>
      <c r="E31">
        <v>0.12667388455182624</v>
      </c>
      <c r="F31" s="191">
        <v>23</v>
      </c>
      <c r="G31" s="251">
        <f t="shared" ca="1" si="1"/>
        <v>2.4690259737056384E-2</v>
      </c>
      <c r="H31" s="4"/>
    </row>
    <row r="32" spans="2:13" x14ac:dyDescent="0.25">
      <c r="B32" s="190">
        <v>38720</v>
      </c>
      <c r="C32">
        <v>89.41</v>
      </c>
      <c r="D32" s="49">
        <f t="shared" si="0"/>
        <v>-0.92524184984824276</v>
      </c>
      <c r="E32">
        <v>0.12197264399548248</v>
      </c>
      <c r="F32" s="191">
        <v>24</v>
      </c>
      <c r="G32" s="251">
        <f t="shared" ca="1" si="1"/>
        <v>8.4734023497739452E-2</v>
      </c>
      <c r="H32" s="4"/>
    </row>
    <row r="33" spans="2:8" x14ac:dyDescent="0.25">
      <c r="B33" s="190">
        <v>44564</v>
      </c>
      <c r="C33" s="191">
        <v>1195.99</v>
      </c>
      <c r="D33" s="49">
        <f t="shared" si="0"/>
        <v>4.5848053447130076E-2</v>
      </c>
      <c r="E33" s="191">
        <v>0.11663103251888306</v>
      </c>
      <c r="F33" s="191">
        <v>25</v>
      </c>
      <c r="G33" s="251">
        <f t="shared" ca="1" si="1"/>
        <v>-4.3066045155565988E-2</v>
      </c>
      <c r="H33" s="4"/>
    </row>
    <row r="34" spans="2:8" x14ac:dyDescent="0.25">
      <c r="B34" s="190">
        <v>44205</v>
      </c>
      <c r="C34" s="191">
        <v>1143.56</v>
      </c>
      <c r="D34" s="49">
        <f t="shared" si="0"/>
        <v>4.3723574180212337</v>
      </c>
      <c r="E34" s="191">
        <v>0.11562475610707873</v>
      </c>
      <c r="F34" s="191">
        <v>26</v>
      </c>
      <c r="G34" s="251">
        <f t="shared" ca="1" si="1"/>
        <v>9.2910151004929858E-2</v>
      </c>
      <c r="H34" s="4"/>
    </row>
    <row r="35" spans="2:8" x14ac:dyDescent="0.25">
      <c r="B35" s="190">
        <v>39089</v>
      </c>
      <c r="C35">
        <v>212.86</v>
      </c>
      <c r="D35" s="49">
        <f t="shared" si="0"/>
        <v>3.5009238549061641E-2</v>
      </c>
      <c r="E35">
        <v>0.11345922477376172</v>
      </c>
      <c r="F35" s="191">
        <v>27</v>
      </c>
      <c r="G35" s="251">
        <f t="shared" ca="1" si="1"/>
        <v>0.12580732179272411</v>
      </c>
      <c r="H35" s="4"/>
    </row>
    <row r="36" spans="2:8" x14ac:dyDescent="0.25">
      <c r="B36" s="190">
        <v>41284</v>
      </c>
      <c r="C36">
        <v>205.66</v>
      </c>
      <c r="D36" s="49">
        <f t="shared" si="0"/>
        <v>0.72620446533490013</v>
      </c>
      <c r="E36">
        <v>0.11227690643591125</v>
      </c>
      <c r="F36" s="191">
        <v>28</v>
      </c>
      <c r="G36" s="251">
        <f t="shared" ca="1" si="1"/>
        <v>-4.122377317861653E-2</v>
      </c>
      <c r="H36" s="4"/>
    </row>
    <row r="37" spans="2:8" x14ac:dyDescent="0.25">
      <c r="B37" s="190">
        <v>38723</v>
      </c>
      <c r="C37">
        <v>119.14</v>
      </c>
      <c r="D37" s="49">
        <f t="shared" si="0"/>
        <v>-0.51661459812553256</v>
      </c>
      <c r="E37">
        <v>0.110758903598732</v>
      </c>
      <c r="F37" s="191">
        <v>29</v>
      </c>
      <c r="G37" s="251">
        <f t="shared" ca="1" si="1"/>
        <v>0.14784737976230838</v>
      </c>
      <c r="H37" s="4"/>
    </row>
    <row r="38" spans="2:8" x14ac:dyDescent="0.25">
      <c r="B38" s="190">
        <v>40188</v>
      </c>
      <c r="C38">
        <v>246.47</v>
      </c>
      <c r="D38" s="49">
        <f t="shared" si="0"/>
        <v>-0.75955084679622253</v>
      </c>
      <c r="E38">
        <v>0.11037527593818984</v>
      </c>
      <c r="F38" s="191">
        <v>30</v>
      </c>
      <c r="G38" s="251">
        <f t="shared" ca="1" si="1"/>
        <v>-4.8708181813549412E-2</v>
      </c>
      <c r="H38" s="4"/>
    </row>
    <row r="39" spans="2:8" x14ac:dyDescent="0.25">
      <c r="B39" s="190">
        <v>44204</v>
      </c>
      <c r="C39" s="191">
        <v>1025.04</v>
      </c>
      <c r="D39" s="49">
        <f t="shared" si="0"/>
        <v>0.67214237940653498</v>
      </c>
      <c r="E39" s="191">
        <v>0.10949473957656836</v>
      </c>
      <c r="F39" s="191">
        <v>31</v>
      </c>
      <c r="G39" s="251">
        <f t="shared" ca="1" si="1"/>
        <v>-2.4035390671063677E-2</v>
      </c>
      <c r="H39" s="4"/>
    </row>
    <row r="40" spans="2:8" x14ac:dyDescent="0.25">
      <c r="B40" s="190">
        <v>43468</v>
      </c>
      <c r="C40">
        <v>613.01</v>
      </c>
      <c r="D40" s="49">
        <f t="shared" si="0"/>
        <v>-0.5703090499989486</v>
      </c>
      <c r="E40">
        <v>0.10739576558999937</v>
      </c>
      <c r="F40" s="191">
        <v>32</v>
      </c>
      <c r="G40" s="251">
        <f t="shared" ca="1" si="1"/>
        <v>2.4649541538457297E-2</v>
      </c>
      <c r="H40" s="4"/>
    </row>
    <row r="41" spans="2:8" x14ac:dyDescent="0.25">
      <c r="B41" s="190">
        <v>45292</v>
      </c>
      <c r="C41" s="191">
        <v>1426.63</v>
      </c>
      <c r="D41" s="49">
        <f t="shared" si="0"/>
        <v>20.116489046773239</v>
      </c>
      <c r="E41" s="191">
        <v>0.10380124877173171</v>
      </c>
      <c r="F41" s="191">
        <v>33</v>
      </c>
      <c r="G41" s="251">
        <f t="shared" ca="1" si="1"/>
        <v>-1.1508229051347098E-2</v>
      </c>
      <c r="H41" s="4"/>
    </row>
    <row r="42" spans="2:8" x14ac:dyDescent="0.25">
      <c r="B42" s="190">
        <v>38361</v>
      </c>
      <c r="C42">
        <v>67.56</v>
      </c>
      <c r="D42" s="49">
        <f t="shared" si="0"/>
        <v>-0.95191459074733098</v>
      </c>
      <c r="E42">
        <v>0.10302040816326534</v>
      </c>
      <c r="F42" s="191">
        <v>34</v>
      </c>
      <c r="G42" s="251">
        <f t="shared" ca="1" si="1"/>
        <v>-1.2978209278305591E-2</v>
      </c>
      <c r="H42" s="4"/>
    </row>
    <row r="43" spans="2:8" x14ac:dyDescent="0.25">
      <c r="B43" s="190">
        <v>45661</v>
      </c>
      <c r="C43" s="191">
        <v>1405</v>
      </c>
      <c r="D43" s="49">
        <f t="shared" si="0"/>
        <v>4.8759566726611174</v>
      </c>
      <c r="E43" s="191">
        <v>0.10187436279507497</v>
      </c>
      <c r="F43" s="191">
        <v>35</v>
      </c>
      <c r="G43" s="251">
        <f t="shared" ca="1" si="1"/>
        <v>3.5856950140782259E-2</v>
      </c>
      <c r="H43" s="4"/>
    </row>
    <row r="44" spans="2:8" x14ac:dyDescent="0.25">
      <c r="B44" s="190">
        <v>39824</v>
      </c>
      <c r="C44">
        <v>239.11</v>
      </c>
      <c r="D44" s="49">
        <f t="shared" si="0"/>
        <v>-0.8124083067243042</v>
      </c>
      <c r="E44">
        <v>0.10143258556359118</v>
      </c>
      <c r="F44" s="191">
        <v>36</v>
      </c>
      <c r="G44" s="251">
        <f t="shared" ca="1" si="1"/>
        <v>2.1744740046738095E-2</v>
      </c>
      <c r="H44" s="4"/>
    </row>
    <row r="45" spans="2:8" x14ac:dyDescent="0.25">
      <c r="B45" s="190">
        <v>44933</v>
      </c>
      <c r="C45" s="191">
        <v>1274.6300000000001</v>
      </c>
      <c r="D45" s="49">
        <f t="shared" si="0"/>
        <v>1.4278204224681437</v>
      </c>
      <c r="E45" s="191">
        <v>0.10106856249406113</v>
      </c>
      <c r="F45" s="191">
        <v>37</v>
      </c>
      <c r="G45" s="251">
        <f t="shared" ca="1" si="1"/>
        <v>-2.6401467103974893E-2</v>
      </c>
      <c r="H45" s="4"/>
    </row>
    <row r="46" spans="2:8" x14ac:dyDescent="0.25">
      <c r="B46" s="190">
        <v>43111</v>
      </c>
      <c r="C46">
        <v>525.01</v>
      </c>
      <c r="D46" s="49">
        <f t="shared" si="0"/>
        <v>-0.20268197488116396</v>
      </c>
      <c r="E46">
        <v>0.10016554556694121</v>
      </c>
      <c r="F46" s="191">
        <v>38</v>
      </c>
      <c r="G46" s="251">
        <f t="shared" ca="1" si="1"/>
        <v>-5.0616577602337801E-2</v>
      </c>
      <c r="H46" s="4"/>
    </row>
    <row r="47" spans="2:8" x14ac:dyDescent="0.25">
      <c r="B47" s="190">
        <v>43475</v>
      </c>
      <c r="C47">
        <v>658.47</v>
      </c>
      <c r="D47" s="49">
        <f t="shared" si="0"/>
        <v>2.0903928286478624</v>
      </c>
      <c r="E47">
        <v>9.9153688216735897E-2</v>
      </c>
      <c r="F47" s="191">
        <v>39</v>
      </c>
      <c r="G47" s="251">
        <f t="shared" ca="1" si="1"/>
        <v>0.12260051888476727</v>
      </c>
      <c r="H47" s="4"/>
    </row>
    <row r="48" spans="2:8" x14ac:dyDescent="0.25">
      <c r="B48" s="190">
        <v>42014</v>
      </c>
      <c r="C48">
        <v>213.07</v>
      </c>
      <c r="D48" s="49">
        <f t="shared" si="0"/>
        <v>-0.13911111111111113</v>
      </c>
      <c r="E48">
        <v>9.9035436116985551E-2</v>
      </c>
      <c r="F48" s="191">
        <v>40</v>
      </c>
      <c r="G48" s="251">
        <f t="shared" ca="1" si="1"/>
        <v>1.1224631705876988E-2</v>
      </c>
      <c r="H48" s="4"/>
    </row>
    <row r="49" spans="2:14" x14ac:dyDescent="0.25">
      <c r="B49" s="190">
        <v>39822</v>
      </c>
      <c r="C49">
        <v>247.5</v>
      </c>
      <c r="D49" s="49">
        <f t="shared" si="0"/>
        <v>2.4717426406657552E-2</v>
      </c>
      <c r="E49">
        <v>9.7999201455126236E-2</v>
      </c>
      <c r="F49" s="191">
        <v>41</v>
      </c>
      <c r="G49" s="251">
        <f t="shared" ca="1" si="1"/>
        <v>-2.3039486158333424E-2</v>
      </c>
      <c r="H49" s="4"/>
    </row>
    <row r="50" spans="2:14" x14ac:dyDescent="0.25">
      <c r="B50" s="190">
        <v>40181</v>
      </c>
      <c r="C50">
        <v>241.53</v>
      </c>
      <c r="D50" s="49">
        <f t="shared" si="0"/>
        <v>3.0335671342685369</v>
      </c>
      <c r="E50">
        <v>9.7364834166288078E-2</v>
      </c>
      <c r="F50" s="191">
        <v>42</v>
      </c>
      <c r="G50" s="251">
        <f t="shared" ca="1" si="1"/>
        <v>2.0240838673449293E-2</v>
      </c>
      <c r="H50" s="4"/>
    </row>
    <row r="51" spans="2:14" x14ac:dyDescent="0.25">
      <c r="B51" s="190">
        <v>38359</v>
      </c>
      <c r="C51">
        <v>59.88</v>
      </c>
      <c r="D51" s="49">
        <f t="shared" si="0"/>
        <v>-0.89148438774215766</v>
      </c>
      <c r="E51">
        <v>9.4698354661791578E-2</v>
      </c>
      <c r="F51" s="191">
        <v>43</v>
      </c>
      <c r="G51" s="251">
        <f t="shared" ca="1" si="1"/>
        <v>0.15260870391977444</v>
      </c>
      <c r="H51" s="4"/>
    </row>
    <row r="52" spans="2:14" x14ac:dyDescent="0.25">
      <c r="B52" s="190">
        <v>43466</v>
      </c>
      <c r="C52">
        <v>551.80999999999995</v>
      </c>
      <c r="D52" s="49">
        <f t="shared" si="0"/>
        <v>-0.64749584770665647</v>
      </c>
      <c r="E52">
        <v>9.4448521390745444E-2</v>
      </c>
      <c r="F52" s="191">
        <v>44</v>
      </c>
      <c r="G52" s="251">
        <f t="shared" ca="1" si="1"/>
        <v>-7.3235656691458192E-2</v>
      </c>
      <c r="H52" s="4"/>
    </row>
    <row r="53" spans="2:14" x14ac:dyDescent="0.25">
      <c r="B53" s="190">
        <v>45297</v>
      </c>
      <c r="C53" s="191">
        <v>1565.4</v>
      </c>
      <c r="D53" s="49">
        <f t="shared" si="0"/>
        <v>5.4324457593688358</v>
      </c>
      <c r="E53" s="191">
        <v>9.4379194630872479E-2</v>
      </c>
      <c r="F53" s="191">
        <v>45</v>
      </c>
      <c r="G53" s="251">
        <f t="shared" ca="1" si="1"/>
        <v>-4.5994584356142017E-3</v>
      </c>
      <c r="H53" s="4"/>
    </row>
    <row r="54" spans="2:14" x14ac:dyDescent="0.25">
      <c r="B54" s="190">
        <v>42381</v>
      </c>
      <c r="C54">
        <v>243.36</v>
      </c>
      <c r="D54" s="49">
        <f t="shared" si="0"/>
        <v>0.29288636242894345</v>
      </c>
      <c r="E54">
        <v>9.3261455525606551E-2</v>
      </c>
      <c r="F54" s="191">
        <v>46</v>
      </c>
      <c r="G54" s="251">
        <f t="shared" ca="1" si="1"/>
        <v>0.10175531111853041</v>
      </c>
      <c r="H54" s="4"/>
    </row>
    <row r="55" spans="2:14" x14ac:dyDescent="0.25">
      <c r="B55" s="190">
        <v>40917</v>
      </c>
      <c r="C55">
        <v>188.23</v>
      </c>
      <c r="D55" s="49">
        <f t="shared" si="0"/>
        <v>1.6552405134715755</v>
      </c>
      <c r="E55">
        <v>9.2391619755092497E-2</v>
      </c>
      <c r="F55" s="191">
        <v>47</v>
      </c>
      <c r="G55" s="251">
        <f t="shared" ca="1" si="1"/>
        <v>2.0157238256371921E-2</v>
      </c>
      <c r="H55" s="4"/>
    </row>
    <row r="56" spans="2:14" x14ac:dyDescent="0.25">
      <c r="B56" s="190">
        <v>38363</v>
      </c>
      <c r="C56">
        <v>70.89</v>
      </c>
      <c r="D56" s="49">
        <f t="shared" si="0"/>
        <v>-0.83634222919937207</v>
      </c>
      <c r="E56">
        <v>9.1959334565619208E-2</v>
      </c>
      <c r="F56" s="191">
        <v>48</v>
      </c>
      <c r="G56" s="251">
        <f t="shared" ca="1" si="1"/>
        <v>-2.1951742787594767E-2</v>
      </c>
      <c r="H56" s="4"/>
    </row>
    <row r="57" spans="2:14" x14ac:dyDescent="0.25">
      <c r="B57" s="190">
        <v>43104</v>
      </c>
      <c r="C57">
        <v>433.16</v>
      </c>
      <c r="D57" s="49">
        <f t="shared" si="0"/>
        <v>0.83643532454318059</v>
      </c>
      <c r="E57">
        <v>9.1303033356847751E-2</v>
      </c>
      <c r="F57" s="191">
        <v>49</v>
      </c>
      <c r="G57" s="251">
        <f t="shared" ca="1" si="1"/>
        <v>8.8153740145767046E-2</v>
      </c>
      <c r="H57" s="4"/>
    </row>
    <row r="58" spans="2:14" x14ac:dyDescent="0.25">
      <c r="B58" s="190">
        <v>40546</v>
      </c>
      <c r="C58">
        <v>235.87</v>
      </c>
      <c r="D58" s="49">
        <f t="shared" si="0"/>
        <v>-0.81750446818881672</v>
      </c>
      <c r="E58">
        <v>8.7961254612546086E-2</v>
      </c>
      <c r="F58" s="191">
        <v>50</v>
      </c>
      <c r="G58" s="251">
        <f t="shared" ca="1" si="1"/>
        <v>-7.7156056734079326E-2</v>
      </c>
      <c r="H58" s="4"/>
    </row>
    <row r="59" spans="2:14" x14ac:dyDescent="0.25">
      <c r="B59" s="190">
        <v>44938</v>
      </c>
      <c r="C59" s="191">
        <v>1292.47</v>
      </c>
      <c r="D59" s="49">
        <f t="shared" si="0"/>
        <v>8.3265261942560258</v>
      </c>
      <c r="E59" s="191">
        <v>8.7278753617336294E-2</v>
      </c>
      <c r="F59" s="191">
        <v>51</v>
      </c>
      <c r="G59" s="251">
        <f t="shared" ca="1" si="1"/>
        <v>-9.8726793068738654E-3</v>
      </c>
      <c r="H59" s="4"/>
    </row>
    <row r="60" spans="2:14" x14ac:dyDescent="0.25">
      <c r="B60" s="190">
        <v>39459</v>
      </c>
      <c r="C60">
        <v>138.58000000000001</v>
      </c>
      <c r="D60" s="49">
        <f t="shared" si="0"/>
        <v>-0.29761784085149517</v>
      </c>
      <c r="E60">
        <v>8.664627930682986E-2</v>
      </c>
      <c r="F60" s="191">
        <v>52</v>
      </c>
      <c r="G60" s="251">
        <f t="shared" ca="1" si="1"/>
        <v>-4.8797257717942508E-2</v>
      </c>
      <c r="H60" s="4"/>
    </row>
    <row r="61" spans="2:14" x14ac:dyDescent="0.25">
      <c r="B61" s="296">
        <v>40553</v>
      </c>
      <c r="C61" s="297">
        <v>197.3</v>
      </c>
      <c r="D61" s="276">
        <f t="shared" si="0"/>
        <v>-0.79880075870367717</v>
      </c>
      <c r="E61" s="297">
        <v>8.5616815230549148E-2</v>
      </c>
      <c r="F61" s="298">
        <v>53</v>
      </c>
      <c r="G61" s="299">
        <f t="shared" ca="1" si="1"/>
        <v>-0.25325649529484695</v>
      </c>
      <c r="H61" s="277"/>
      <c r="I61" s="272"/>
      <c r="L61" s="273"/>
      <c r="N61" s="273"/>
    </row>
    <row r="62" spans="2:14" x14ac:dyDescent="0.25">
      <c r="B62" s="296">
        <v>44201</v>
      </c>
      <c r="C62" s="297">
        <v>980.62</v>
      </c>
      <c r="D62" s="276">
        <f t="shared" si="0"/>
        <v>3.1728510638297873</v>
      </c>
      <c r="E62" s="297">
        <v>8.3127153839356704E-2</v>
      </c>
      <c r="F62" s="298">
        <v>54</v>
      </c>
      <c r="G62" s="299">
        <f t="shared" ca="1" si="1"/>
        <v>7.0875959125184226E-2</v>
      </c>
      <c r="H62" s="277"/>
      <c r="I62" s="272"/>
      <c r="L62" s="273"/>
      <c r="N62" s="273"/>
    </row>
    <row r="63" spans="2:14" x14ac:dyDescent="0.25">
      <c r="B63" s="296">
        <v>42372</v>
      </c>
      <c r="C63" s="297">
        <v>235</v>
      </c>
      <c r="D63" s="276">
        <f t="shared" si="0"/>
        <v>0.52984831716685099</v>
      </c>
      <c r="E63" s="297">
        <v>8.1255176221588274E-2</v>
      </c>
      <c r="F63" s="298">
        <v>55</v>
      </c>
      <c r="G63" s="299">
        <f t="shared" ca="1" si="1"/>
        <v>-9.0942963534027407E-2</v>
      </c>
      <c r="H63" s="277"/>
    </row>
    <row r="64" spans="2:14" x14ac:dyDescent="0.25">
      <c r="B64" s="296">
        <v>39083</v>
      </c>
      <c r="C64" s="297">
        <v>153.61000000000001</v>
      </c>
      <c r="D64" s="276">
        <f t="shared" si="0"/>
        <v>-0.35466117716254247</v>
      </c>
      <c r="E64" s="297">
        <v>7.5775614538833413E-2</v>
      </c>
      <c r="F64" s="298">
        <v>56</v>
      </c>
      <c r="G64" s="299">
        <f t="shared" ca="1" si="1"/>
        <v>-6.4778069186978829E-2</v>
      </c>
      <c r="H64" s="277"/>
    </row>
    <row r="65" spans="2:13" x14ac:dyDescent="0.25">
      <c r="B65" s="296">
        <v>40190</v>
      </c>
      <c r="C65" s="297">
        <v>238.03</v>
      </c>
      <c r="D65" s="276">
        <f t="shared" si="0"/>
        <v>7.2352119655809358E-2</v>
      </c>
      <c r="E65" s="297">
        <v>7.4142599277978366E-2</v>
      </c>
      <c r="F65" s="298">
        <v>57</v>
      </c>
      <c r="G65" s="299">
        <f t="shared" ca="1" si="1"/>
        <v>6.2431168247513741E-2</v>
      </c>
      <c r="H65" s="277"/>
    </row>
    <row r="66" spans="2:13" x14ac:dyDescent="0.25">
      <c r="B66" s="296">
        <v>40187</v>
      </c>
      <c r="C66" s="297">
        <v>221.97</v>
      </c>
      <c r="D66" s="276">
        <f t="shared" si="0"/>
        <v>-0.78114647420728822</v>
      </c>
      <c r="E66" s="297">
        <v>7.4031064015096584E-2</v>
      </c>
      <c r="F66" s="298">
        <v>58</v>
      </c>
      <c r="G66" s="299">
        <f t="shared" ca="1" si="1"/>
        <v>5.5436334055069647E-2</v>
      </c>
      <c r="H66" s="277"/>
    </row>
    <row r="67" spans="2:13" x14ac:dyDescent="0.25">
      <c r="B67" s="296">
        <v>43839</v>
      </c>
      <c r="C67" s="298">
        <v>1014.24</v>
      </c>
      <c r="D67" s="276">
        <f t="shared" si="0"/>
        <v>5.8165871362322745</v>
      </c>
      <c r="E67" s="298">
        <v>7.3849379029952672E-2</v>
      </c>
      <c r="F67" s="298">
        <v>59</v>
      </c>
      <c r="G67" s="299">
        <f t="shared" ca="1" si="1"/>
        <v>-5.6434302909043194E-2</v>
      </c>
      <c r="H67" s="277"/>
    </row>
    <row r="68" spans="2:13" x14ac:dyDescent="0.25">
      <c r="B68" s="296">
        <v>39814</v>
      </c>
      <c r="C68" s="297">
        <v>148.79</v>
      </c>
      <c r="D68" s="276">
        <f t="shared" si="0"/>
        <v>-0.87143795254635636</v>
      </c>
      <c r="E68" s="297">
        <v>7.3675855101746124E-2</v>
      </c>
      <c r="F68" s="298">
        <v>60</v>
      </c>
      <c r="G68" s="299">
        <f t="shared" ca="1" si="1"/>
        <v>2.1342460606514457E-2</v>
      </c>
      <c r="H68" s="277"/>
    </row>
    <row r="69" spans="2:13" x14ac:dyDescent="0.25">
      <c r="B69" s="296">
        <v>44571</v>
      </c>
      <c r="C69" s="298">
        <v>1157.3399999999999</v>
      </c>
      <c r="D69" s="276">
        <f t="shared" si="0"/>
        <v>-6.6540843979868369E-2</v>
      </c>
      <c r="E69" s="298">
        <v>7.2276319568621267E-2</v>
      </c>
      <c r="F69" s="298">
        <v>61</v>
      </c>
      <c r="G69" s="299">
        <f t="shared" ca="1" si="1"/>
        <v>-8.8035944073802386E-2</v>
      </c>
      <c r="H69" s="277"/>
    </row>
    <row r="70" spans="2:13" x14ac:dyDescent="0.25">
      <c r="B70" s="296">
        <v>44572</v>
      </c>
      <c r="C70" s="298">
        <v>1239.8399999999999</v>
      </c>
      <c r="D70" s="276">
        <f t="shared" si="0"/>
        <v>1.2083607929750815</v>
      </c>
      <c r="E70" s="298">
        <v>7.1284151588988542E-2</v>
      </c>
      <c r="F70" s="298">
        <v>62</v>
      </c>
      <c r="G70" s="299">
        <f t="shared" ca="1" si="1"/>
        <v>3.4245190483042025E-2</v>
      </c>
      <c r="H70" s="277"/>
      <c r="I70" s="272"/>
      <c r="L70" s="273"/>
    </row>
    <row r="71" spans="2:13" x14ac:dyDescent="0.25">
      <c r="B71" s="190">
        <v>43473</v>
      </c>
      <c r="C71">
        <v>561.42999999999995</v>
      </c>
      <c r="D71" s="49">
        <f t="shared" si="0"/>
        <v>1.8948643910487777</v>
      </c>
      <c r="E71">
        <v>7.0573204683269122E-2</v>
      </c>
      <c r="F71" s="191">
        <v>63</v>
      </c>
      <c r="G71" s="251">
        <f t="shared" ca="1" si="1"/>
        <v>-6.5225781747263525E-2</v>
      </c>
      <c r="H71" s="4"/>
      <c r="I71" s="272"/>
      <c r="L71" s="273"/>
    </row>
    <row r="72" spans="2:13" x14ac:dyDescent="0.25">
      <c r="B72" s="291">
        <v>41280</v>
      </c>
      <c r="C72" s="51">
        <v>193.94</v>
      </c>
      <c r="D72" s="292" t="e">
        <f t="shared" si="0"/>
        <v>#DIV/0!</v>
      </c>
      <c r="E72" s="51">
        <v>6.9836716681376851E-2</v>
      </c>
      <c r="F72" s="293">
        <v>64</v>
      </c>
      <c r="G72" s="294">
        <f t="shared" ca="1" si="1"/>
        <v>3.6375908082076584E-3</v>
      </c>
      <c r="H72" s="4"/>
    </row>
    <row r="73" spans="2:13" x14ac:dyDescent="0.25">
      <c r="B73" s="286"/>
      <c r="C73" s="286"/>
      <c r="D73" s="286"/>
      <c r="E73" s="286"/>
      <c r="F73" s="286"/>
      <c r="G73" s="286"/>
      <c r="H73" s="286"/>
      <c r="I73" s="286"/>
      <c r="J73" s="11"/>
      <c r="K73" s="11"/>
      <c r="L73" s="11"/>
      <c r="M73" s="11"/>
    </row>
    <row r="74" spans="2:13" x14ac:dyDescent="0.25">
      <c r="B74" s="291">
        <v>43474</v>
      </c>
      <c r="C74" s="51">
        <v>599.07000000000005</v>
      </c>
      <c r="D74" s="292">
        <f t="shared" ref="D74:D136" si="6">(C74-C75)/C75</f>
        <v>1.0172065458953465</v>
      </c>
      <c r="E74" s="51">
        <v>6.7043086404360477E-2</v>
      </c>
      <c r="F74" s="293">
        <v>66</v>
      </c>
      <c r="G74" s="294">
        <f t="shared" ref="G74:G137" ca="1" si="7">_xlfn.NORM.INV(RAND(),M$11,M$12)</f>
        <v>-1.8848156038487818E-2</v>
      </c>
      <c r="H74" s="295"/>
      <c r="I74" s="51"/>
    </row>
    <row r="75" spans="2:13" x14ac:dyDescent="0.25">
      <c r="B75" s="291">
        <v>42738</v>
      </c>
      <c r="C75" s="51">
        <v>296.98</v>
      </c>
      <c r="D75" s="292">
        <f t="shared" si="6"/>
        <v>-0.76709277703709511</v>
      </c>
      <c r="E75" s="51">
        <v>6.6891794798103185E-2</v>
      </c>
      <c r="F75" s="293">
        <v>67</v>
      </c>
      <c r="G75" s="294">
        <f t="shared" ca="1" si="7"/>
        <v>9.930822978717474E-2</v>
      </c>
      <c r="H75" s="295"/>
      <c r="I75" s="51"/>
    </row>
    <row r="76" spans="2:13" x14ac:dyDescent="0.25">
      <c r="B76" s="291">
        <v>45660</v>
      </c>
      <c r="C76" s="293">
        <v>1275.0999999999999</v>
      </c>
      <c r="D76" s="292">
        <f t="shared" si="6"/>
        <v>14.889096573208722</v>
      </c>
      <c r="E76" s="293">
        <v>6.2494792100658281E-2</v>
      </c>
      <c r="F76" s="293">
        <v>68</v>
      </c>
      <c r="G76" s="294">
        <f t="shared" ca="1" si="7"/>
        <v>-2.6108701849125369E-2</v>
      </c>
      <c r="H76" s="295"/>
      <c r="I76" s="51"/>
    </row>
    <row r="77" spans="2:13" x14ac:dyDescent="0.25">
      <c r="B77" s="291">
        <v>38718</v>
      </c>
      <c r="C77" s="51">
        <v>80.25</v>
      </c>
      <c r="D77" s="292">
        <f t="shared" si="6"/>
        <v>-0.88494623655913973</v>
      </c>
      <c r="E77" s="51">
        <v>5.996565843349632E-2</v>
      </c>
      <c r="F77" s="293">
        <v>69</v>
      </c>
      <c r="G77" s="294">
        <f t="shared" ca="1" si="7"/>
        <v>-9.6715693807259591E-3</v>
      </c>
      <c r="H77" s="295"/>
      <c r="I77" s="51"/>
      <c r="M77" s="273" t="s">
        <v>734</v>
      </c>
    </row>
    <row r="78" spans="2:13" x14ac:dyDescent="0.25">
      <c r="B78" s="291">
        <v>43476</v>
      </c>
      <c r="C78" s="51">
        <v>697.5</v>
      </c>
      <c r="D78" s="292">
        <f t="shared" si="6"/>
        <v>-0.44930442609231153</v>
      </c>
      <c r="E78" s="51">
        <v>5.927377101462477E-2</v>
      </c>
      <c r="F78" s="293">
        <v>70</v>
      </c>
      <c r="G78" s="294">
        <f t="shared" ca="1" si="7"/>
        <v>1.0785928488866611E-2</v>
      </c>
      <c r="H78" s="295"/>
      <c r="I78" s="51"/>
      <c r="M78" s="273" t="s">
        <v>735</v>
      </c>
    </row>
    <row r="79" spans="2:13" x14ac:dyDescent="0.25">
      <c r="B79" s="291">
        <v>44565</v>
      </c>
      <c r="C79" s="293">
        <v>1266.58</v>
      </c>
      <c r="D79" s="292">
        <f t="shared" si="6"/>
        <v>4.6302453769559024</v>
      </c>
      <c r="E79" s="293">
        <v>5.9022232627363037E-2</v>
      </c>
      <c r="F79" s="293">
        <v>71</v>
      </c>
      <c r="G79" s="294">
        <f t="shared" ca="1" si="7"/>
        <v>0.10016055269489314</v>
      </c>
      <c r="H79" s="295"/>
      <c r="I79" s="51"/>
    </row>
    <row r="80" spans="2:13" x14ac:dyDescent="0.25">
      <c r="B80" s="190">
        <v>41649</v>
      </c>
      <c r="C80">
        <v>224.96</v>
      </c>
      <c r="D80" s="49">
        <f t="shared" si="6"/>
        <v>0.19177791905064642</v>
      </c>
      <c r="E80">
        <v>5.7988054366740406E-2</v>
      </c>
      <c r="F80" s="191">
        <v>72</v>
      </c>
      <c r="G80" s="251">
        <f t="shared" ca="1" si="7"/>
        <v>-1.7365285953754906E-2</v>
      </c>
      <c r="H80" s="4"/>
    </row>
    <row r="81" spans="2:8" x14ac:dyDescent="0.25">
      <c r="B81" s="190">
        <v>40920</v>
      </c>
      <c r="C81">
        <v>188.76</v>
      </c>
      <c r="D81" s="49">
        <f t="shared" si="6"/>
        <v>-0.39825942809780357</v>
      </c>
      <c r="E81">
        <v>5.7775287195292818E-2</v>
      </c>
      <c r="F81" s="191">
        <v>73</v>
      </c>
      <c r="G81" s="251">
        <f t="shared" ca="1" si="7"/>
        <v>0.17255096965504971</v>
      </c>
      <c r="H81" s="4"/>
    </row>
    <row r="82" spans="2:8" x14ac:dyDescent="0.25">
      <c r="B82" s="190">
        <v>42739</v>
      </c>
      <c r="C82">
        <v>313.69</v>
      </c>
      <c r="D82" s="49">
        <f t="shared" si="6"/>
        <v>0.57356408327062958</v>
      </c>
      <c r="E82">
        <v>5.6266415246817893E-2</v>
      </c>
      <c r="F82" s="191">
        <v>74</v>
      </c>
      <c r="G82" s="251">
        <f t="shared" ca="1" si="7"/>
        <v>1.3978385062979094E-2</v>
      </c>
      <c r="H82" s="4"/>
    </row>
    <row r="83" spans="2:8" x14ac:dyDescent="0.25">
      <c r="B83" s="190">
        <v>41275</v>
      </c>
      <c r="C83">
        <v>199.35</v>
      </c>
      <c r="D83" s="49">
        <f t="shared" si="6"/>
        <v>-0.86715313874450228</v>
      </c>
      <c r="E83">
        <v>5.6102987921169759E-2</v>
      </c>
      <c r="F83" s="191">
        <v>75</v>
      </c>
      <c r="G83" s="251">
        <f t="shared" ca="1" si="7"/>
        <v>-1.3751888859232047E-2</v>
      </c>
      <c r="H83" s="4"/>
    </row>
    <row r="84" spans="2:8" x14ac:dyDescent="0.25">
      <c r="B84" s="190">
        <v>45663</v>
      </c>
      <c r="C84" s="191">
        <v>1500.6</v>
      </c>
      <c r="D84" s="49">
        <f t="shared" si="6"/>
        <v>2.4316684961580681</v>
      </c>
      <c r="E84" s="191">
        <v>5.6091209796607651E-2</v>
      </c>
      <c r="F84" s="191">
        <v>76</v>
      </c>
      <c r="G84" s="251">
        <f t="shared" ca="1" si="7"/>
        <v>4.0862641540175534E-2</v>
      </c>
      <c r="H84" s="4"/>
    </row>
    <row r="85" spans="2:8" x14ac:dyDescent="0.25">
      <c r="B85" s="190">
        <v>43106</v>
      </c>
      <c r="C85">
        <v>437.28</v>
      </c>
      <c r="D85" s="49">
        <f t="shared" si="6"/>
        <v>0.76208897485493221</v>
      </c>
      <c r="E85">
        <v>5.5467052860246106E-2</v>
      </c>
      <c r="F85" s="191">
        <v>77</v>
      </c>
      <c r="G85" s="251">
        <f t="shared" ca="1" si="7"/>
        <v>5.6016363555859622E-2</v>
      </c>
      <c r="H85" s="4"/>
    </row>
    <row r="86" spans="2:8" x14ac:dyDescent="0.25">
      <c r="B86" s="190">
        <v>39454</v>
      </c>
      <c r="C86">
        <v>248.16</v>
      </c>
      <c r="D86" s="49">
        <f t="shared" si="6"/>
        <v>-0.7927578834847675</v>
      </c>
      <c r="E86">
        <v>5.3623742198446039E-2</v>
      </c>
      <c r="F86" s="191">
        <v>78</v>
      </c>
      <c r="G86" s="251">
        <f t="shared" ca="1" si="7"/>
        <v>0.12316511267434703</v>
      </c>
      <c r="H86" s="4"/>
    </row>
    <row r="87" spans="2:8" x14ac:dyDescent="0.25">
      <c r="B87" s="190">
        <v>44569</v>
      </c>
      <c r="C87" s="191">
        <v>1197.44</v>
      </c>
      <c r="D87" s="49">
        <f t="shared" si="6"/>
        <v>4.2491671050324396</v>
      </c>
      <c r="E87" s="191">
        <v>5.1206643783304646E-2</v>
      </c>
      <c r="F87" s="191">
        <v>79</v>
      </c>
      <c r="G87" s="251">
        <f t="shared" ca="1" si="7"/>
        <v>-1.7306584387651782E-2</v>
      </c>
      <c r="H87" s="4"/>
    </row>
    <row r="88" spans="2:8" x14ac:dyDescent="0.25">
      <c r="B88" s="190">
        <v>42016</v>
      </c>
      <c r="C88">
        <v>228.12</v>
      </c>
      <c r="D88" s="49">
        <f t="shared" si="6"/>
        <v>0.13340289163809804</v>
      </c>
      <c r="E88">
        <v>5.0518075063320282E-2</v>
      </c>
      <c r="F88" s="191">
        <v>80</v>
      </c>
      <c r="G88" s="251">
        <f t="shared" ca="1" si="7"/>
        <v>-5.318335991823539E-2</v>
      </c>
      <c r="H88" s="4"/>
    </row>
    <row r="89" spans="2:8" x14ac:dyDescent="0.25">
      <c r="B89" s="190">
        <v>41286</v>
      </c>
      <c r="C89">
        <v>201.27</v>
      </c>
      <c r="D89" s="49">
        <f t="shared" si="6"/>
        <v>-7.1632841328413285E-2</v>
      </c>
      <c r="E89">
        <v>4.9210238231767699E-2</v>
      </c>
      <c r="F89" s="191">
        <v>81</v>
      </c>
      <c r="G89" s="251">
        <f t="shared" ca="1" si="7"/>
        <v>0.10787270792124025</v>
      </c>
      <c r="H89" s="4"/>
    </row>
    <row r="90" spans="2:8" x14ac:dyDescent="0.25">
      <c r="B90" s="190">
        <v>40545</v>
      </c>
      <c r="C90">
        <v>216.8</v>
      </c>
      <c r="D90" s="49">
        <f t="shared" si="6"/>
        <v>0.64591557849984826</v>
      </c>
      <c r="E90">
        <v>4.8913832309255473E-2</v>
      </c>
      <c r="F90" s="191">
        <v>82</v>
      </c>
      <c r="G90" s="251">
        <f t="shared" ca="1" si="7"/>
        <v>8.4824873258713185E-2</v>
      </c>
      <c r="H90" s="4"/>
    </row>
    <row r="91" spans="2:8" x14ac:dyDescent="0.25">
      <c r="B91" s="190">
        <v>38726</v>
      </c>
      <c r="C91">
        <v>131.72</v>
      </c>
      <c r="D91" s="49">
        <f t="shared" si="6"/>
        <v>-0.4227364361469016</v>
      </c>
      <c r="E91">
        <v>4.8642623994904863E-2</v>
      </c>
      <c r="F91" s="191">
        <v>83</v>
      </c>
      <c r="G91" s="251">
        <f t="shared" ca="1" si="7"/>
        <v>0.12937801559433038</v>
      </c>
      <c r="H91" s="4"/>
    </row>
    <row r="92" spans="2:8" x14ac:dyDescent="0.25">
      <c r="B92" s="190">
        <v>42376</v>
      </c>
      <c r="C92">
        <v>228.18</v>
      </c>
      <c r="D92" s="49">
        <f t="shared" si="6"/>
        <v>-0.59131696308634685</v>
      </c>
      <c r="E92">
        <v>4.7177604405690687E-2</v>
      </c>
      <c r="F92" s="191">
        <v>84</v>
      </c>
      <c r="G92" s="251">
        <f t="shared" ca="1" si="7"/>
        <v>4.402144151572937E-2</v>
      </c>
      <c r="H92" s="4"/>
    </row>
    <row r="93" spans="2:8" x14ac:dyDescent="0.25">
      <c r="B93" s="190">
        <v>43108</v>
      </c>
      <c r="C93">
        <v>558.33000000000004</v>
      </c>
      <c r="D93" s="49">
        <f t="shared" si="6"/>
        <v>3.0511536787113633</v>
      </c>
      <c r="E93">
        <v>4.6934183386461818E-2</v>
      </c>
      <c r="F93" s="191">
        <v>85</v>
      </c>
      <c r="G93" s="251">
        <f t="shared" ca="1" si="7"/>
        <v>1.4802960751883377E-2</v>
      </c>
      <c r="H93" s="4"/>
    </row>
    <row r="94" spans="2:8" x14ac:dyDescent="0.25">
      <c r="B94" s="190">
        <v>38727</v>
      </c>
      <c r="C94">
        <v>137.82</v>
      </c>
      <c r="D94" s="49">
        <f t="shared" si="6"/>
        <v>-0.16920851166435588</v>
      </c>
      <c r="E94">
        <v>4.6310355299119303E-2</v>
      </c>
      <c r="F94" s="191">
        <v>86</v>
      </c>
      <c r="G94" s="251">
        <f t="shared" ca="1" si="7"/>
        <v>5.0886205746170962E-2</v>
      </c>
      <c r="H94" s="4"/>
    </row>
    <row r="95" spans="2:8" x14ac:dyDescent="0.25">
      <c r="B95" s="190">
        <v>40914</v>
      </c>
      <c r="C95">
        <v>165.89</v>
      </c>
      <c r="D95" s="49">
        <f t="shared" si="6"/>
        <v>2.502744932432432</v>
      </c>
      <c r="E95">
        <v>4.5700958144225923E-2</v>
      </c>
      <c r="F95" s="191">
        <v>87</v>
      </c>
      <c r="G95" s="251">
        <f t="shared" ca="1" si="7"/>
        <v>-2.5954454168459793E-2</v>
      </c>
      <c r="H95" s="4"/>
    </row>
    <row r="96" spans="2:8" x14ac:dyDescent="0.25">
      <c r="B96" s="190">
        <v>38354</v>
      </c>
      <c r="C96">
        <v>47.36</v>
      </c>
      <c r="D96" s="49">
        <f t="shared" si="6"/>
        <v>-0.80127559583752928</v>
      </c>
      <c r="E96">
        <v>4.5013239187996448E-2</v>
      </c>
      <c r="F96" s="191">
        <v>88</v>
      </c>
      <c r="G96" s="251">
        <f t="shared" ca="1" si="7"/>
        <v>9.3964170504196379E-2</v>
      </c>
      <c r="H96" s="4"/>
    </row>
    <row r="97" spans="2:8" x14ac:dyDescent="0.25">
      <c r="B97" s="190">
        <v>42377</v>
      </c>
      <c r="C97">
        <v>238.32</v>
      </c>
      <c r="D97" s="49">
        <f t="shared" si="6"/>
        <v>0.22921394677119866</v>
      </c>
      <c r="E97">
        <v>4.4438601104391212E-2</v>
      </c>
      <c r="F97" s="191">
        <v>89</v>
      </c>
      <c r="G97" s="251">
        <f t="shared" ca="1" si="7"/>
        <v>-5.4644925003531186E-2</v>
      </c>
      <c r="H97" s="4"/>
    </row>
    <row r="98" spans="2:8" x14ac:dyDescent="0.25">
      <c r="B98" s="190">
        <v>42008</v>
      </c>
      <c r="C98">
        <v>193.88</v>
      </c>
      <c r="D98" s="49">
        <f t="shared" si="6"/>
        <v>-0.55148402618733661</v>
      </c>
      <c r="E98">
        <v>4.3993322922836614E-2</v>
      </c>
      <c r="F98" s="191">
        <v>90</v>
      </c>
      <c r="G98" s="251">
        <f t="shared" ca="1" si="7"/>
        <v>0.1100204705210103</v>
      </c>
      <c r="H98" s="4"/>
    </row>
    <row r="99" spans="2:8" x14ac:dyDescent="0.25">
      <c r="B99" s="190">
        <v>43101</v>
      </c>
      <c r="C99">
        <v>432.27</v>
      </c>
      <c r="D99" s="49">
        <f t="shared" si="6"/>
        <v>0.76415132840876621</v>
      </c>
      <c r="E99">
        <v>4.3701861554434084E-2</v>
      </c>
      <c r="F99" s="191">
        <v>91</v>
      </c>
      <c r="G99" s="251">
        <f t="shared" ca="1" si="7"/>
        <v>5.273850975639964E-2</v>
      </c>
      <c r="H99" s="4"/>
    </row>
    <row r="100" spans="2:8" x14ac:dyDescent="0.25">
      <c r="B100" s="190">
        <v>40184</v>
      </c>
      <c r="C100">
        <v>245.03</v>
      </c>
      <c r="D100" s="49">
        <f t="shared" si="6"/>
        <v>-0.8063157062682792</v>
      </c>
      <c r="E100">
        <v>4.2281679356842052E-2</v>
      </c>
      <c r="F100" s="191">
        <v>92</v>
      </c>
      <c r="G100" s="251">
        <f t="shared" ca="1" si="7"/>
        <v>0.11232597295560047</v>
      </c>
      <c r="H100" s="4"/>
    </row>
    <row r="101" spans="2:8" x14ac:dyDescent="0.25">
      <c r="B101" s="190">
        <v>45658</v>
      </c>
      <c r="C101" s="191">
        <v>1265.0999999999999</v>
      </c>
      <c r="D101" s="49">
        <f t="shared" si="6"/>
        <v>6.4253987482333838E-2</v>
      </c>
      <c r="E101" s="191">
        <v>4.0849068246328404E-2</v>
      </c>
      <c r="F101" s="191">
        <v>93</v>
      </c>
      <c r="G101" s="251">
        <f t="shared" ca="1" si="7"/>
        <v>-8.2983002375918172E-2</v>
      </c>
      <c r="H101" s="4"/>
    </row>
    <row r="102" spans="2:8" x14ac:dyDescent="0.25">
      <c r="B102" s="190">
        <v>44937</v>
      </c>
      <c r="C102" s="191">
        <v>1188.72</v>
      </c>
      <c r="D102" s="49">
        <f t="shared" si="6"/>
        <v>8.1893805631905653E-2</v>
      </c>
      <c r="E102" s="191">
        <v>3.9136325888369232E-2</v>
      </c>
      <c r="F102" s="191">
        <v>94</v>
      </c>
      <c r="G102" s="251">
        <f t="shared" ca="1" si="7"/>
        <v>-6.0331398913952741E-2</v>
      </c>
      <c r="H102" s="4"/>
    </row>
    <row r="103" spans="2:8" x14ac:dyDescent="0.25">
      <c r="B103" s="190">
        <v>44930</v>
      </c>
      <c r="C103" s="191">
        <v>1098.74</v>
      </c>
      <c r="D103" s="49">
        <f t="shared" si="6"/>
        <v>3.984304119034658</v>
      </c>
      <c r="E103" s="191">
        <v>3.8379027151673135E-2</v>
      </c>
      <c r="F103" s="191">
        <v>95</v>
      </c>
      <c r="G103" s="251">
        <f t="shared" ca="1" si="7"/>
        <v>9.4733669204803431E-2</v>
      </c>
      <c r="H103" s="4"/>
    </row>
    <row r="104" spans="2:8" x14ac:dyDescent="0.25">
      <c r="B104" s="190">
        <v>39090</v>
      </c>
      <c r="C104">
        <v>220.44</v>
      </c>
      <c r="D104" s="49">
        <f t="shared" si="6"/>
        <v>0.21294156487289528</v>
      </c>
      <c r="E104">
        <v>3.5610260264962806E-2</v>
      </c>
      <c r="F104" s="191">
        <v>96</v>
      </c>
      <c r="G104" s="251">
        <f t="shared" ca="1" si="7"/>
        <v>7.2336154309200137E-2</v>
      </c>
      <c r="H104" s="4"/>
    </row>
    <row r="105" spans="2:8" x14ac:dyDescent="0.25">
      <c r="B105" s="190">
        <v>40552</v>
      </c>
      <c r="C105">
        <v>181.74</v>
      </c>
      <c r="D105" s="49">
        <f t="shared" si="6"/>
        <v>-0.84300683292589174</v>
      </c>
      <c r="E105">
        <v>3.2907075873827914E-2</v>
      </c>
      <c r="F105" s="191">
        <v>97</v>
      </c>
      <c r="G105" s="251">
        <f t="shared" ca="1" si="7"/>
        <v>-4.5180719310972825E-2</v>
      </c>
      <c r="H105" s="4"/>
    </row>
    <row r="106" spans="2:8" x14ac:dyDescent="0.25">
      <c r="B106" s="190">
        <v>44932</v>
      </c>
      <c r="C106" s="191">
        <v>1157.6300000000001</v>
      </c>
      <c r="D106" s="49">
        <f t="shared" si="6"/>
        <v>5.7182984156462195</v>
      </c>
      <c r="E106" s="191">
        <v>3.2528809447358115E-2</v>
      </c>
      <c r="F106" s="191">
        <v>98</v>
      </c>
      <c r="G106" s="251">
        <f t="shared" ca="1" si="7"/>
        <v>3.3577117139887785E-2</v>
      </c>
      <c r="H106" s="4"/>
    </row>
    <row r="107" spans="2:8" x14ac:dyDescent="0.25">
      <c r="B107" s="190">
        <v>40916</v>
      </c>
      <c r="C107">
        <v>172.31</v>
      </c>
      <c r="D107" s="49">
        <f t="shared" si="6"/>
        <v>-0.44464498662455276</v>
      </c>
      <c r="E107">
        <v>3.0623841138824121E-2</v>
      </c>
      <c r="F107" s="191">
        <v>99</v>
      </c>
      <c r="G107" s="251">
        <f t="shared" ca="1" si="7"/>
        <v>-2.3862017028285627E-2</v>
      </c>
      <c r="H107" s="4"/>
    </row>
    <row r="108" spans="2:8" x14ac:dyDescent="0.25">
      <c r="B108" s="190">
        <v>42741</v>
      </c>
      <c r="C108">
        <v>310.27</v>
      </c>
      <c r="D108" s="49">
        <f t="shared" si="6"/>
        <v>-0.65571078240992464</v>
      </c>
      <c r="E108">
        <v>2.9326875228079405E-2</v>
      </c>
      <c r="F108" s="191">
        <v>100</v>
      </c>
      <c r="G108" s="251">
        <f t="shared" ca="1" si="7"/>
        <v>-0.10493913509655707</v>
      </c>
      <c r="H108" s="4"/>
    </row>
    <row r="109" spans="2:8" x14ac:dyDescent="0.25">
      <c r="B109" s="190">
        <v>43842</v>
      </c>
      <c r="C109">
        <v>901.19</v>
      </c>
      <c r="D109" s="49">
        <f t="shared" si="6"/>
        <v>3.3793857517737393</v>
      </c>
      <c r="E109">
        <v>2.8767451683238444E-2</v>
      </c>
      <c r="F109" s="191">
        <v>101</v>
      </c>
      <c r="G109" s="251">
        <f t="shared" ca="1" si="7"/>
        <v>-3.2173556336302367E-2</v>
      </c>
      <c r="H109" s="4"/>
    </row>
    <row r="110" spans="2:8" x14ac:dyDescent="0.25">
      <c r="B110" s="190">
        <v>42005</v>
      </c>
      <c r="C110">
        <v>205.78</v>
      </c>
      <c r="D110" s="49">
        <f t="shared" si="6"/>
        <v>-8.7085754846723734E-2</v>
      </c>
      <c r="E110">
        <v>2.705130764623671E-2</v>
      </c>
      <c r="F110" s="191">
        <v>102</v>
      </c>
      <c r="G110" s="251">
        <f t="shared" ca="1" si="7"/>
        <v>1.761583005724917E-2</v>
      </c>
      <c r="H110" s="4"/>
    </row>
    <row r="111" spans="2:8" x14ac:dyDescent="0.25">
      <c r="B111" s="190">
        <v>39821</v>
      </c>
      <c r="C111">
        <v>225.41</v>
      </c>
      <c r="D111" s="49">
        <f t="shared" si="6"/>
        <v>-8.0672131816142592E-2</v>
      </c>
      <c r="E111">
        <v>2.5429897188608878E-2</v>
      </c>
      <c r="F111" s="191">
        <v>103</v>
      </c>
      <c r="G111" s="251">
        <f t="shared" ca="1" si="7"/>
        <v>8.3942837090178343E-2</v>
      </c>
      <c r="H111" s="4"/>
    </row>
    <row r="112" spans="2:8" x14ac:dyDescent="0.25">
      <c r="B112" s="190">
        <v>39825</v>
      </c>
      <c r="C112">
        <v>245.19</v>
      </c>
      <c r="D112" s="49">
        <f t="shared" si="6"/>
        <v>-0.23514365037277349</v>
      </c>
      <c r="E112">
        <v>2.5427627451800359E-2</v>
      </c>
      <c r="F112" s="191">
        <v>104</v>
      </c>
      <c r="G112" s="251">
        <f t="shared" ca="1" si="7"/>
        <v>4.1727414547799539E-2</v>
      </c>
      <c r="H112" s="4"/>
    </row>
    <row r="113" spans="2:8" x14ac:dyDescent="0.25">
      <c r="B113" s="190">
        <v>39093</v>
      </c>
      <c r="C113">
        <v>320.57</v>
      </c>
      <c r="D113" s="49">
        <f t="shared" si="6"/>
        <v>-0.78055175246440311</v>
      </c>
      <c r="E113">
        <v>2.4348937529956878E-2</v>
      </c>
      <c r="F113" s="191">
        <v>105</v>
      </c>
      <c r="G113" s="251">
        <f t="shared" ca="1" si="7"/>
        <v>0.12572738637821324</v>
      </c>
      <c r="H113" s="4"/>
    </row>
    <row r="114" spans="2:8" x14ac:dyDescent="0.25">
      <c r="B114" s="190">
        <v>45293</v>
      </c>
      <c r="C114" s="191">
        <v>1460.8</v>
      </c>
      <c r="D114" s="49">
        <f t="shared" si="6"/>
        <v>7.058252427184466</v>
      </c>
      <c r="E114" s="191">
        <v>2.3951550156662796E-2</v>
      </c>
      <c r="F114" s="191">
        <v>106</v>
      </c>
      <c r="G114" s="251">
        <f t="shared" ca="1" si="7"/>
        <v>2.533462489303747E-2</v>
      </c>
      <c r="H114" s="4"/>
    </row>
    <row r="115" spans="2:8" x14ac:dyDescent="0.25">
      <c r="B115" s="190">
        <v>41279</v>
      </c>
      <c r="C115">
        <v>181.28</v>
      </c>
      <c r="D115" s="49">
        <f t="shared" si="6"/>
        <v>1.9596734693877551</v>
      </c>
      <c r="E115">
        <v>2.2967101179391644E-2</v>
      </c>
      <c r="F115" s="191">
        <v>107</v>
      </c>
      <c r="G115" s="251">
        <f t="shared" ca="1" si="7"/>
        <v>0.20040263056016264</v>
      </c>
      <c r="H115" s="4"/>
    </row>
    <row r="116" spans="2:8" x14ac:dyDescent="0.25">
      <c r="B116" s="190">
        <v>38360</v>
      </c>
      <c r="C116">
        <v>61.25</v>
      </c>
      <c r="D116" s="49">
        <f t="shared" si="6"/>
        <v>-0.74861481633490667</v>
      </c>
      <c r="E116">
        <v>2.287909151636602E-2</v>
      </c>
      <c r="F116" s="191">
        <v>108</v>
      </c>
      <c r="G116" s="251">
        <f t="shared" ca="1" si="7"/>
        <v>-0.12295328831720274</v>
      </c>
      <c r="H116" s="4"/>
    </row>
    <row r="117" spans="2:8" x14ac:dyDescent="0.25">
      <c r="B117" s="190">
        <v>42378</v>
      </c>
      <c r="C117">
        <v>243.65</v>
      </c>
      <c r="D117" s="49">
        <f t="shared" si="6"/>
        <v>-0.61096918409707812</v>
      </c>
      <c r="E117">
        <v>2.2364887546156481E-2</v>
      </c>
      <c r="F117" s="191">
        <v>109</v>
      </c>
      <c r="G117" s="251">
        <f t="shared" ca="1" si="7"/>
        <v>4.6901961190983762E-2</v>
      </c>
      <c r="H117" s="4"/>
    </row>
    <row r="118" spans="2:8" x14ac:dyDescent="0.25">
      <c r="B118" s="190">
        <v>43469</v>
      </c>
      <c r="C118">
        <v>626.29999999999995</v>
      </c>
      <c r="D118" s="49">
        <f t="shared" si="6"/>
        <v>3.3861614959030746</v>
      </c>
      <c r="E118">
        <v>2.1679907342457651E-2</v>
      </c>
      <c r="F118" s="191">
        <v>110</v>
      </c>
      <c r="G118" s="251">
        <f t="shared" ca="1" si="7"/>
        <v>6.4362316250410057E-2</v>
      </c>
      <c r="H118" s="4"/>
    </row>
    <row r="119" spans="2:8" x14ac:dyDescent="0.25">
      <c r="B119" s="190">
        <v>38729</v>
      </c>
      <c r="C119">
        <v>142.79</v>
      </c>
      <c r="D119" s="49">
        <f t="shared" si="6"/>
        <v>-0.38661454529833755</v>
      </c>
      <c r="E119">
        <v>2.0657612580414483E-2</v>
      </c>
      <c r="F119" s="191">
        <v>111</v>
      </c>
      <c r="G119" s="251">
        <f t="shared" ca="1" si="7"/>
        <v>-8.2219856688607998E-2</v>
      </c>
      <c r="H119" s="4"/>
    </row>
    <row r="120" spans="2:8" x14ac:dyDescent="0.25">
      <c r="B120" s="190">
        <v>42370</v>
      </c>
      <c r="C120">
        <v>232.79</v>
      </c>
      <c r="D120" s="49">
        <f t="shared" si="6"/>
        <v>-0.79236683435013744</v>
      </c>
      <c r="E120">
        <v>2.0471681571102872E-2</v>
      </c>
      <c r="F120" s="191">
        <v>112</v>
      </c>
      <c r="G120" s="251">
        <f t="shared" ca="1" si="7"/>
        <v>-0.10381045891089495</v>
      </c>
      <c r="H120" s="4"/>
    </row>
    <row r="121" spans="2:8" x14ac:dyDescent="0.25">
      <c r="B121" s="190">
        <v>44931</v>
      </c>
      <c r="C121" s="191">
        <v>1121.1600000000001</v>
      </c>
      <c r="D121" s="49">
        <f t="shared" si="6"/>
        <v>5.3267309971220582</v>
      </c>
      <c r="E121" s="191">
        <v>2.0405191401059463E-2</v>
      </c>
      <c r="F121" s="191">
        <v>113</v>
      </c>
      <c r="G121" s="251">
        <f t="shared" ca="1" si="7"/>
        <v>-6.4278693848190502E-2</v>
      </c>
      <c r="H121" s="4"/>
    </row>
    <row r="122" spans="2:8" x14ac:dyDescent="0.25">
      <c r="B122" s="190">
        <v>41278</v>
      </c>
      <c r="C122">
        <v>177.21</v>
      </c>
      <c r="D122" s="49">
        <f t="shared" si="6"/>
        <v>-0.18392816025788625</v>
      </c>
      <c r="E122">
        <v>1.9796282442308785E-2</v>
      </c>
      <c r="F122" s="191">
        <v>114</v>
      </c>
      <c r="G122" s="251">
        <f t="shared" ca="1" si="7"/>
        <v>8.1770090340752125E-2</v>
      </c>
      <c r="H122" s="4"/>
    </row>
    <row r="123" spans="2:8" x14ac:dyDescent="0.25">
      <c r="B123" s="190">
        <v>42015</v>
      </c>
      <c r="C123">
        <v>217.15</v>
      </c>
      <c r="D123" s="49">
        <f t="shared" si="6"/>
        <v>-0.8538546959652723</v>
      </c>
      <c r="E123">
        <v>1.9148636598301086E-2</v>
      </c>
      <c r="F123" s="191">
        <v>115</v>
      </c>
      <c r="G123" s="251">
        <f t="shared" ca="1" si="7"/>
        <v>-9.6206191471912547E-2</v>
      </c>
      <c r="H123" s="4"/>
    </row>
    <row r="124" spans="2:8" x14ac:dyDescent="0.25">
      <c r="B124" s="190">
        <v>45294</v>
      </c>
      <c r="C124" s="191">
        <v>1485.85</v>
      </c>
      <c r="D124" s="49">
        <f t="shared" si="6"/>
        <v>6.535500557865908</v>
      </c>
      <c r="E124" s="191">
        <v>1.7148138006571712E-2</v>
      </c>
      <c r="F124" s="191">
        <v>116</v>
      </c>
      <c r="G124" s="251">
        <f t="shared" ca="1" si="7"/>
        <v>-2.8889845329974111E-2</v>
      </c>
      <c r="H124" s="4"/>
    </row>
    <row r="125" spans="2:8" x14ac:dyDescent="0.25">
      <c r="B125" s="190">
        <v>42009</v>
      </c>
      <c r="C125">
        <v>197.18</v>
      </c>
      <c r="D125" s="49">
        <f t="shared" si="6"/>
        <v>0.40943531093638313</v>
      </c>
      <c r="E125">
        <v>1.7020837631524715E-2</v>
      </c>
      <c r="F125" s="191">
        <v>117</v>
      </c>
      <c r="G125" s="251">
        <f t="shared" ca="1" si="7"/>
        <v>-0.12727991328847452</v>
      </c>
      <c r="H125" s="4"/>
    </row>
    <row r="126" spans="2:8" x14ac:dyDescent="0.25">
      <c r="B126" s="190">
        <v>38728</v>
      </c>
      <c r="C126">
        <v>139.9</v>
      </c>
      <c r="D126" s="49">
        <f t="shared" si="6"/>
        <v>-9.179433913269272E-2</v>
      </c>
      <c r="E126">
        <v>1.5092149180090064E-2</v>
      </c>
      <c r="F126" s="191">
        <v>118</v>
      </c>
      <c r="G126" s="251">
        <f t="shared" ca="1" si="7"/>
        <v>-3.4664803801949348E-2</v>
      </c>
      <c r="H126" s="4"/>
    </row>
    <row r="127" spans="2:8" x14ac:dyDescent="0.25">
      <c r="B127" s="190">
        <v>39085</v>
      </c>
      <c r="C127">
        <v>154.04</v>
      </c>
      <c r="D127" s="49">
        <f t="shared" si="6"/>
        <v>-0.72768093908001275</v>
      </c>
      <c r="E127">
        <v>1.3154433043935806E-2</v>
      </c>
      <c r="F127" s="191">
        <v>119</v>
      </c>
      <c r="G127" s="251">
        <f t="shared" ca="1" si="7"/>
        <v>5.4804376624391193E-2</v>
      </c>
      <c r="H127" s="4"/>
    </row>
    <row r="128" spans="2:8" x14ac:dyDescent="0.25">
      <c r="B128" s="190">
        <v>43109</v>
      </c>
      <c r="C128">
        <v>565.66</v>
      </c>
      <c r="D128" s="49">
        <f t="shared" si="6"/>
        <v>11.418441273326016</v>
      </c>
      <c r="E128">
        <v>1.3128436587680989E-2</v>
      </c>
      <c r="F128" s="191">
        <v>120</v>
      </c>
      <c r="G128" s="251">
        <f t="shared" ca="1" si="7"/>
        <v>2.6603912881566816E-2</v>
      </c>
      <c r="H128" s="4"/>
    </row>
    <row r="129" spans="2:8" x14ac:dyDescent="0.25">
      <c r="B129" s="190">
        <v>38357</v>
      </c>
      <c r="C129">
        <v>45.55</v>
      </c>
      <c r="D129" s="49">
        <f t="shared" si="6"/>
        <v>-0.79095915557595231</v>
      </c>
      <c r="E129">
        <v>1.3122775800711662E-2</v>
      </c>
      <c r="F129" s="191">
        <v>121</v>
      </c>
      <c r="G129" s="251">
        <f t="shared" ca="1" si="7"/>
        <v>5.2542885338384346E-2</v>
      </c>
      <c r="H129" s="4"/>
    </row>
    <row r="130" spans="2:8" x14ac:dyDescent="0.25">
      <c r="B130" s="190">
        <v>42375</v>
      </c>
      <c r="C130">
        <v>217.9</v>
      </c>
      <c r="D130" s="49">
        <f t="shared" si="6"/>
        <v>-7.3120932408864678E-2</v>
      </c>
      <c r="E130">
        <v>1.1794205052005905E-2</v>
      </c>
      <c r="F130" s="191">
        <v>122</v>
      </c>
      <c r="G130" s="251">
        <f t="shared" ca="1" si="7"/>
        <v>-2.1074480374774541E-2</v>
      </c>
      <c r="H130" s="4"/>
    </row>
    <row r="131" spans="2:8" x14ac:dyDescent="0.25">
      <c r="B131" s="190">
        <v>40183</v>
      </c>
      <c r="C131">
        <v>235.09</v>
      </c>
      <c r="D131" s="49">
        <f t="shared" si="6"/>
        <v>-0.83454852558237747</v>
      </c>
      <c r="E131">
        <v>1.1618400103274742E-2</v>
      </c>
      <c r="F131" s="191">
        <v>123</v>
      </c>
      <c r="G131" s="251">
        <f t="shared" ca="1" si="7"/>
        <v>0.17999117174311977</v>
      </c>
      <c r="H131" s="4"/>
    </row>
    <row r="132" spans="2:8" x14ac:dyDescent="0.25">
      <c r="B132" s="190">
        <v>45662</v>
      </c>
      <c r="C132" s="191">
        <v>1420.9</v>
      </c>
      <c r="D132" s="49">
        <f t="shared" si="6"/>
        <v>6.2469016167695219</v>
      </c>
      <c r="E132" s="191">
        <v>1.1316725978647751E-2</v>
      </c>
      <c r="F132" s="191">
        <v>124</v>
      </c>
      <c r="G132" s="251">
        <f t="shared" ca="1" si="7"/>
        <v>1.0264676714325849E-2</v>
      </c>
      <c r="H132" s="4"/>
    </row>
    <row r="133" spans="2:8" x14ac:dyDescent="0.25">
      <c r="B133" s="190">
        <v>41281</v>
      </c>
      <c r="C133">
        <v>196.07</v>
      </c>
      <c r="D133" s="49">
        <f t="shared" si="6"/>
        <v>-0.39495772387829414</v>
      </c>
      <c r="E133">
        <v>1.0982778178818167E-2</v>
      </c>
      <c r="F133" s="191">
        <v>125</v>
      </c>
      <c r="G133" s="251">
        <f t="shared" ca="1" si="7"/>
        <v>-0.10954199115195622</v>
      </c>
      <c r="H133" s="4"/>
    </row>
    <row r="134" spans="2:8" x14ac:dyDescent="0.25">
      <c r="B134" s="190">
        <v>39094</v>
      </c>
      <c r="C134">
        <v>324.06</v>
      </c>
      <c r="D134" s="49">
        <f t="shared" si="6"/>
        <v>-0.51249379447294396</v>
      </c>
      <c r="E134">
        <v>1.0886857784571262E-2</v>
      </c>
      <c r="F134" s="191">
        <v>126</v>
      </c>
      <c r="G134" s="251">
        <f t="shared" ca="1" si="7"/>
        <v>1.8751202778390434E-2</v>
      </c>
      <c r="H134" s="4"/>
    </row>
    <row r="135" spans="2:8" x14ac:dyDescent="0.25">
      <c r="B135" s="190">
        <v>43835</v>
      </c>
      <c r="C135">
        <v>664.73</v>
      </c>
      <c r="D135" s="49">
        <f t="shared" si="6"/>
        <v>2.9758956875411209</v>
      </c>
      <c r="E135">
        <v>8.3736593801671411E-3</v>
      </c>
      <c r="F135" s="191">
        <v>127</v>
      </c>
      <c r="G135" s="251">
        <f t="shared" ca="1" si="7"/>
        <v>9.8893588067974457E-3</v>
      </c>
      <c r="H135" s="4"/>
    </row>
    <row r="136" spans="2:8" x14ac:dyDescent="0.25">
      <c r="B136" s="190">
        <v>40915</v>
      </c>
      <c r="C136">
        <v>167.19</v>
      </c>
      <c r="D136" s="49">
        <f t="shared" si="6"/>
        <v>-0.84567314349010014</v>
      </c>
      <c r="E136">
        <v>7.8365181746941435E-3</v>
      </c>
      <c r="F136" s="191">
        <v>128</v>
      </c>
      <c r="G136" s="251">
        <f t="shared" ca="1" si="7"/>
        <v>-2.9200448410561342E-2</v>
      </c>
      <c r="H136" s="4"/>
    </row>
    <row r="137" spans="2:8" x14ac:dyDescent="0.25">
      <c r="B137" s="190">
        <v>44562</v>
      </c>
      <c r="C137" s="191">
        <v>1083.3499999999999</v>
      </c>
      <c r="D137" s="49">
        <f t="shared" ref="D137:D200" si="8">(C137-C138)/C138</f>
        <v>4.5880229019446013</v>
      </c>
      <c r="E137" s="191">
        <v>7.7955663878990873E-3</v>
      </c>
      <c r="F137" s="191">
        <v>129</v>
      </c>
      <c r="G137" s="251">
        <f t="shared" ca="1" si="7"/>
        <v>-0.14980678988332813</v>
      </c>
      <c r="H137" s="4"/>
    </row>
    <row r="138" spans="2:8" x14ac:dyDescent="0.25">
      <c r="B138" s="190">
        <v>42013</v>
      </c>
      <c r="C138">
        <v>193.87</v>
      </c>
      <c r="D138" s="49">
        <f t="shared" si="8"/>
        <v>-0.831604822458481</v>
      </c>
      <c r="E138">
        <v>7.4832406589409014E-3</v>
      </c>
      <c r="F138" s="191">
        <v>130</v>
      </c>
      <c r="G138" s="251">
        <f t="shared" ref="G138:G201" ca="1" si="9">_xlfn.NORM.INV(RAND(),M$11,M$12)</f>
        <v>0.22084584986058003</v>
      </c>
      <c r="H138" s="4"/>
    </row>
    <row r="139" spans="2:8" x14ac:dyDescent="0.25">
      <c r="B139" s="190">
        <v>44206</v>
      </c>
      <c r="C139" s="191">
        <v>1151.28</v>
      </c>
      <c r="D139" s="49">
        <f t="shared" si="8"/>
        <v>0.21894355684019942</v>
      </c>
      <c r="E139" s="191">
        <v>6.7508482283395958E-3</v>
      </c>
      <c r="F139" s="191">
        <v>131</v>
      </c>
      <c r="G139" s="251">
        <f t="shared" ca="1" si="9"/>
        <v>0.15694837204453155</v>
      </c>
      <c r="H139" s="4"/>
    </row>
    <row r="140" spans="2:8" x14ac:dyDescent="0.25">
      <c r="B140" s="190">
        <v>43838</v>
      </c>
      <c r="C140">
        <v>944.49</v>
      </c>
      <c r="D140" s="49">
        <f t="shared" si="8"/>
        <v>3.4890209125475287</v>
      </c>
      <c r="E140">
        <v>6.5755818910392602E-3</v>
      </c>
      <c r="F140" s="191">
        <v>132</v>
      </c>
      <c r="G140" s="251">
        <f t="shared" ca="1" si="9"/>
        <v>-1.4152145497684742E-2</v>
      </c>
      <c r="H140" s="4"/>
    </row>
    <row r="141" spans="2:8" x14ac:dyDescent="0.25">
      <c r="B141" s="190">
        <v>41643</v>
      </c>
      <c r="C141">
        <v>210.4</v>
      </c>
      <c r="D141" s="49">
        <f t="shared" si="8"/>
        <v>0.1401940063946242</v>
      </c>
      <c r="E141">
        <v>5.4477683264838707E-3</v>
      </c>
      <c r="F141" s="191">
        <v>133</v>
      </c>
      <c r="G141" s="251">
        <f t="shared" ca="1" si="9"/>
        <v>3.8427008741001467E-2</v>
      </c>
      <c r="H141" s="4"/>
    </row>
    <row r="142" spans="2:8" x14ac:dyDescent="0.25">
      <c r="B142" s="190">
        <v>40910</v>
      </c>
      <c r="C142">
        <v>184.53</v>
      </c>
      <c r="D142" s="49">
        <f t="shared" si="8"/>
        <v>-0.82560743953956517</v>
      </c>
      <c r="E142">
        <v>4.4635566926133205E-3</v>
      </c>
      <c r="F142" s="191">
        <v>134</v>
      </c>
      <c r="G142" s="251">
        <f t="shared" ca="1" si="9"/>
        <v>1.1153336425432259E-2</v>
      </c>
      <c r="H142" s="4"/>
    </row>
    <row r="143" spans="2:8" x14ac:dyDescent="0.25">
      <c r="B143" s="190">
        <v>44929</v>
      </c>
      <c r="C143" s="191">
        <v>1058.1300000000001</v>
      </c>
      <c r="D143" s="49">
        <f t="shared" si="8"/>
        <v>0.91150010838933493</v>
      </c>
      <c r="E143" s="191">
        <v>3.6613011847061259E-3</v>
      </c>
      <c r="F143" s="191">
        <v>135</v>
      </c>
      <c r="G143" s="251">
        <f t="shared" ca="1" si="9"/>
        <v>-1.6190137992455261E-2</v>
      </c>
      <c r="H143" s="4"/>
    </row>
    <row r="144" spans="2:8" x14ac:dyDescent="0.25">
      <c r="B144" s="190">
        <v>43467</v>
      </c>
      <c r="C144">
        <v>553.55999999999995</v>
      </c>
      <c r="D144" s="49">
        <f t="shared" si="8"/>
        <v>-0.63331412332823278</v>
      </c>
      <c r="E144">
        <v>3.1713814537612586E-3</v>
      </c>
      <c r="F144" s="191">
        <v>136</v>
      </c>
      <c r="G144" s="251">
        <f t="shared" ca="1" si="9"/>
        <v>5.3095689289792622E-2</v>
      </c>
      <c r="H144" s="4"/>
    </row>
    <row r="145" spans="2:8" x14ac:dyDescent="0.25">
      <c r="B145" s="190">
        <v>45299</v>
      </c>
      <c r="C145" s="191">
        <v>1509.63</v>
      </c>
      <c r="D145" s="49">
        <f t="shared" si="8"/>
        <v>5.7020199778024425</v>
      </c>
      <c r="E145" s="191">
        <v>2.7899005599729284E-3</v>
      </c>
      <c r="F145" s="191">
        <v>137</v>
      </c>
      <c r="G145" s="251">
        <f t="shared" ca="1" si="9"/>
        <v>4.7776262930950872E-2</v>
      </c>
      <c r="H145" s="4"/>
    </row>
    <row r="146" spans="2:8" x14ac:dyDescent="0.25">
      <c r="B146" s="190">
        <v>42011</v>
      </c>
      <c r="C146">
        <v>225.25</v>
      </c>
      <c r="D146" s="49">
        <f t="shared" si="8"/>
        <v>-0.45614119805876818</v>
      </c>
      <c r="E146">
        <v>1.7344125233478001E-3</v>
      </c>
      <c r="F146" s="191">
        <v>138</v>
      </c>
      <c r="G146" s="251">
        <f t="shared" ca="1" si="9"/>
        <v>-8.1169416133996322E-3</v>
      </c>
      <c r="H146" s="4"/>
    </row>
    <row r="147" spans="2:8" x14ac:dyDescent="0.25">
      <c r="B147" s="190">
        <v>42747</v>
      </c>
      <c r="C147">
        <v>414.17</v>
      </c>
      <c r="D147" s="49">
        <f t="shared" si="8"/>
        <v>-0.54253556596271091</v>
      </c>
      <c r="E147">
        <v>-5.3090084220171923E-4</v>
      </c>
      <c r="F147" s="191">
        <v>139</v>
      </c>
      <c r="G147" s="251">
        <f t="shared" ca="1" si="9"/>
        <v>0.11475415759682993</v>
      </c>
      <c r="H147" s="4"/>
    </row>
    <row r="148" spans="2:8" x14ac:dyDescent="0.25">
      <c r="B148" s="190">
        <v>44200</v>
      </c>
      <c r="C148">
        <v>905.36</v>
      </c>
      <c r="D148" s="49">
        <f t="shared" si="8"/>
        <v>2.269273823709963</v>
      </c>
      <c r="E148">
        <v>-4.3001528698845982E-3</v>
      </c>
      <c r="F148" s="191">
        <v>140</v>
      </c>
      <c r="G148" s="251">
        <f t="shared" ca="1" si="9"/>
        <v>0.1440195899258169</v>
      </c>
      <c r="H148" s="4"/>
    </row>
    <row r="149" spans="2:8" x14ac:dyDescent="0.25">
      <c r="B149" s="190">
        <v>39449</v>
      </c>
      <c r="C149">
        <v>276.93</v>
      </c>
      <c r="D149" s="49">
        <f t="shared" si="8"/>
        <v>2.4750909775379597</v>
      </c>
      <c r="E149">
        <v>-6.2439444504252661E-3</v>
      </c>
      <c r="F149" s="191">
        <v>141</v>
      </c>
      <c r="G149" s="251">
        <f t="shared" ca="1" si="9"/>
        <v>-2.4608530574512025E-4</v>
      </c>
      <c r="H149" s="4"/>
    </row>
    <row r="150" spans="2:8" x14ac:dyDescent="0.25">
      <c r="B150" s="190">
        <v>38719</v>
      </c>
      <c r="C150">
        <v>79.69</v>
      </c>
      <c r="D150" s="49">
        <f t="shared" si="8"/>
        <v>-0.81434196118631041</v>
      </c>
      <c r="E150">
        <v>-6.9781931464174742E-3</v>
      </c>
      <c r="F150" s="191">
        <v>142</v>
      </c>
      <c r="G150" s="251">
        <f t="shared" ca="1" si="9"/>
        <v>-8.5208080217752336E-2</v>
      </c>
      <c r="H150" s="4"/>
    </row>
    <row r="151" spans="2:8" x14ac:dyDescent="0.25">
      <c r="B151" s="190">
        <v>43102</v>
      </c>
      <c r="C151">
        <v>429.23</v>
      </c>
      <c r="D151" s="49">
        <f t="shared" si="8"/>
        <v>1.5622612225405923</v>
      </c>
      <c r="E151">
        <v>-7.0326416360144443E-3</v>
      </c>
      <c r="F151" s="191">
        <v>143</v>
      </c>
      <c r="G151" s="251">
        <f t="shared" ca="1" si="9"/>
        <v>-2.6193257265559353E-2</v>
      </c>
      <c r="H151" s="4"/>
    </row>
    <row r="152" spans="2:8" x14ac:dyDescent="0.25">
      <c r="B152" s="190">
        <v>40912</v>
      </c>
      <c r="C152">
        <v>167.52</v>
      </c>
      <c r="D152" s="49">
        <f t="shared" si="8"/>
        <v>-0.25394139128885712</v>
      </c>
      <c r="E152">
        <v>-7.3477127281345147E-3</v>
      </c>
      <c r="F152" s="191">
        <v>144</v>
      </c>
      <c r="G152" s="251">
        <f t="shared" ca="1" si="9"/>
        <v>4.2031103233426993E-3</v>
      </c>
      <c r="H152" s="4"/>
    </row>
    <row r="153" spans="2:8" x14ac:dyDescent="0.25">
      <c r="B153" s="190">
        <v>41647</v>
      </c>
      <c r="C153">
        <v>224.54</v>
      </c>
      <c r="D153" s="49">
        <f t="shared" si="8"/>
        <v>-7.6895881209121846E-3</v>
      </c>
      <c r="E153">
        <v>-7.6895881209121846E-3</v>
      </c>
      <c r="F153" s="191">
        <v>145</v>
      </c>
      <c r="G153" s="251">
        <f t="shared" ca="1" si="9"/>
        <v>-7.109401278159562E-2</v>
      </c>
      <c r="H153" s="4"/>
    </row>
    <row r="154" spans="2:8" x14ac:dyDescent="0.25">
      <c r="B154" s="190">
        <v>41646</v>
      </c>
      <c r="C154">
        <v>226.28</v>
      </c>
      <c r="D154" s="49">
        <f t="shared" si="8"/>
        <v>1.4936084323839484E-2</v>
      </c>
      <c r="E154">
        <v>-8.8480070083224276E-3</v>
      </c>
      <c r="F154" s="191">
        <v>146</v>
      </c>
      <c r="G154" s="251">
        <f t="shared" ca="1" si="9"/>
        <v>7.8804016098688506E-2</v>
      </c>
      <c r="H154" s="4"/>
    </row>
    <row r="155" spans="2:8" x14ac:dyDescent="0.25">
      <c r="B155" s="190">
        <v>41650</v>
      </c>
      <c r="C155">
        <v>222.95</v>
      </c>
      <c r="D155" s="49">
        <f t="shared" si="8"/>
        <v>0.46639042357274402</v>
      </c>
      <c r="E155">
        <v>-8.9349217638692181E-3</v>
      </c>
      <c r="F155" s="191">
        <v>147</v>
      </c>
      <c r="G155" s="251">
        <f t="shared" ca="1" si="9"/>
        <v>-3.6059745979779526E-2</v>
      </c>
      <c r="H155" s="4"/>
    </row>
    <row r="156" spans="2:8" x14ac:dyDescent="0.25">
      <c r="B156" s="190">
        <v>39084</v>
      </c>
      <c r="C156">
        <v>152.04</v>
      </c>
      <c r="D156" s="49">
        <f t="shared" si="8"/>
        <v>-0.85804849356251223</v>
      </c>
      <c r="E156">
        <v>-1.0220688757242507E-2</v>
      </c>
      <c r="F156" s="191">
        <v>148</v>
      </c>
      <c r="G156" s="251">
        <f t="shared" ca="1" si="9"/>
        <v>-0.13269954137432938</v>
      </c>
      <c r="H156" s="4"/>
    </row>
    <row r="157" spans="2:8" x14ac:dyDescent="0.25">
      <c r="B157" s="190">
        <v>44563</v>
      </c>
      <c r="C157" s="191">
        <v>1071.07</v>
      </c>
      <c r="D157" s="49">
        <f t="shared" si="8"/>
        <v>-0.26989093387866397</v>
      </c>
      <c r="E157" s="191">
        <v>-1.1335210227534937E-2</v>
      </c>
      <c r="F157" s="191">
        <v>149</v>
      </c>
      <c r="G157" s="251">
        <f t="shared" ca="1" si="9"/>
        <v>-6.1935816170776717E-2</v>
      </c>
      <c r="H157" s="4"/>
    </row>
    <row r="158" spans="2:8" x14ac:dyDescent="0.25">
      <c r="B158" s="190">
        <v>45295</v>
      </c>
      <c r="C158" s="191">
        <v>1467</v>
      </c>
      <c r="D158" s="49">
        <f t="shared" si="8"/>
        <v>3.0920502092050208</v>
      </c>
      <c r="E158" s="191">
        <v>-1.2686341151529367E-2</v>
      </c>
      <c r="F158" s="191">
        <v>150</v>
      </c>
      <c r="G158" s="251">
        <f t="shared" ca="1" si="9"/>
        <v>-7.3200794155990775E-2</v>
      </c>
      <c r="H158" s="4"/>
    </row>
    <row r="159" spans="2:8" x14ac:dyDescent="0.25">
      <c r="B159" s="190">
        <v>42743</v>
      </c>
      <c r="C159">
        <v>358.5</v>
      </c>
      <c r="D159" s="49">
        <f t="shared" si="8"/>
        <v>-0.65995428116137234</v>
      </c>
      <c r="E159">
        <v>-1.2804626187525753E-2</v>
      </c>
      <c r="F159" s="191">
        <v>151</v>
      </c>
      <c r="G159" s="251">
        <f t="shared" ca="1" si="9"/>
        <v>8.70221128456172E-2</v>
      </c>
      <c r="H159" s="4"/>
    </row>
    <row r="160" spans="2:8" x14ac:dyDescent="0.25">
      <c r="B160" s="190">
        <v>44928</v>
      </c>
      <c r="C160" s="191">
        <v>1054.27</v>
      </c>
      <c r="D160" s="49">
        <f t="shared" si="8"/>
        <v>-0.10521625475285173</v>
      </c>
      <c r="E160" s="191">
        <v>-1.3299266247379489E-2</v>
      </c>
      <c r="F160" s="191">
        <v>152</v>
      </c>
      <c r="G160" s="251">
        <f t="shared" ca="1" si="9"/>
        <v>4.1754566710476469E-2</v>
      </c>
      <c r="H160" s="4"/>
    </row>
    <row r="161" spans="2:8" x14ac:dyDescent="0.25">
      <c r="B161" s="190">
        <v>44567</v>
      </c>
      <c r="C161" s="191">
        <v>1178.24</v>
      </c>
      <c r="D161" s="49">
        <f t="shared" si="8"/>
        <v>5.6026337909778654</v>
      </c>
      <c r="E161" s="191">
        <v>-1.4058106841611958E-2</v>
      </c>
      <c r="F161" s="191">
        <v>153</v>
      </c>
      <c r="G161" s="251">
        <f t="shared" ca="1" si="9"/>
        <v>4.2457069614674769E-3</v>
      </c>
      <c r="H161" s="4"/>
    </row>
    <row r="162" spans="2:8" x14ac:dyDescent="0.25">
      <c r="B162" s="190">
        <v>40919</v>
      </c>
      <c r="C162">
        <v>178.45</v>
      </c>
      <c r="D162" s="49">
        <f t="shared" si="8"/>
        <v>-0.83399536731257617</v>
      </c>
      <c r="E162">
        <v>-1.463279955825514E-2</v>
      </c>
      <c r="F162" s="191">
        <v>154</v>
      </c>
      <c r="G162" s="251">
        <f t="shared" ca="1" si="9"/>
        <v>2.2127122019454083E-2</v>
      </c>
      <c r="H162" s="4"/>
    </row>
    <row r="163" spans="2:8" x14ac:dyDescent="0.25">
      <c r="B163" s="190">
        <v>44208</v>
      </c>
      <c r="C163" s="191">
        <v>1074.97</v>
      </c>
      <c r="D163" s="49">
        <f t="shared" si="8"/>
        <v>-0.21408831700541009</v>
      </c>
      <c r="E163" s="191">
        <v>-1.5487049858958933E-2</v>
      </c>
      <c r="F163" s="191">
        <v>155</v>
      </c>
      <c r="G163" s="251">
        <f t="shared" ca="1" si="9"/>
        <v>-7.1757712151344945E-3</v>
      </c>
      <c r="H163" s="4"/>
    </row>
    <row r="164" spans="2:8" x14ac:dyDescent="0.25">
      <c r="B164" s="190">
        <v>45665</v>
      </c>
      <c r="C164" s="191">
        <v>1367.8</v>
      </c>
      <c r="D164" s="49">
        <f t="shared" si="8"/>
        <v>28.421380942138093</v>
      </c>
      <c r="E164" s="191">
        <v>-1.6112789526686874E-2</v>
      </c>
      <c r="F164" s="191">
        <v>156</v>
      </c>
      <c r="G164" s="251">
        <f t="shared" ca="1" si="9"/>
        <v>-8.1114204357213893E-2</v>
      </c>
      <c r="H164" s="4"/>
    </row>
    <row r="165" spans="2:8" x14ac:dyDescent="0.25">
      <c r="B165" s="190">
        <v>38355</v>
      </c>
      <c r="C165">
        <v>46.49</v>
      </c>
      <c r="D165" s="49">
        <f t="shared" si="8"/>
        <v>-0.88781099930017615</v>
      </c>
      <c r="E165">
        <v>-1.836993243243238E-2</v>
      </c>
      <c r="F165" s="191">
        <v>157</v>
      </c>
      <c r="G165" s="251">
        <f t="shared" ca="1" si="9"/>
        <v>0.10076345020895786</v>
      </c>
      <c r="H165" s="4"/>
    </row>
    <row r="166" spans="2:8" x14ac:dyDescent="0.25">
      <c r="B166" s="190">
        <v>42746</v>
      </c>
      <c r="C166">
        <v>414.39</v>
      </c>
      <c r="D166" s="49">
        <f t="shared" si="8"/>
        <v>0.180127584439255</v>
      </c>
      <c r="E166">
        <v>-2.0516699364171428E-2</v>
      </c>
      <c r="F166" s="191">
        <v>158</v>
      </c>
      <c r="G166" s="251">
        <f t="shared" ca="1" si="9"/>
        <v>-2.1904176162414139E-2</v>
      </c>
      <c r="H166" s="4"/>
    </row>
    <row r="167" spans="2:8" x14ac:dyDescent="0.25">
      <c r="B167" s="190">
        <v>42744</v>
      </c>
      <c r="C167">
        <v>351.14</v>
      </c>
      <c r="D167" s="49">
        <f t="shared" si="8"/>
        <v>0.82913996978694582</v>
      </c>
      <c r="E167">
        <v>-2.0529986052998644E-2</v>
      </c>
      <c r="F167" s="191">
        <v>159</v>
      </c>
      <c r="G167" s="251">
        <f t="shared" ca="1" si="9"/>
        <v>0.13933874980748276</v>
      </c>
      <c r="H167" s="4"/>
    </row>
    <row r="168" spans="2:8" x14ac:dyDescent="0.25">
      <c r="B168" s="190">
        <v>41282</v>
      </c>
      <c r="C168">
        <v>191.97</v>
      </c>
      <c r="D168" s="49">
        <f t="shared" si="8"/>
        <v>-0.86998923180072729</v>
      </c>
      <c r="E168">
        <v>-2.0910899168664225E-2</v>
      </c>
      <c r="F168" s="191">
        <v>160</v>
      </c>
      <c r="G168" s="251">
        <f t="shared" ca="1" si="9"/>
        <v>-8.7123293026230786E-2</v>
      </c>
      <c r="H168" s="4"/>
    </row>
    <row r="169" spans="2:8" x14ac:dyDescent="0.25">
      <c r="B169" s="190">
        <v>45300</v>
      </c>
      <c r="C169" s="191">
        <v>1476.57</v>
      </c>
      <c r="D169" s="49">
        <f t="shared" si="8"/>
        <v>0.54116001628239507</v>
      </c>
      <c r="E169" s="191">
        <v>-2.1899405814669932E-2</v>
      </c>
      <c r="F169" s="191">
        <v>161</v>
      </c>
      <c r="G169" s="251">
        <f t="shared" ca="1" si="9"/>
        <v>8.2938432620920273E-3</v>
      </c>
      <c r="H169" s="4"/>
    </row>
    <row r="170" spans="2:8" x14ac:dyDescent="0.25">
      <c r="B170" s="190">
        <v>44202</v>
      </c>
      <c r="C170">
        <v>958.09</v>
      </c>
      <c r="D170" s="49">
        <f t="shared" si="8"/>
        <v>0.40725889368702439</v>
      </c>
      <c r="E170" s="191">
        <v>-2.2975260549448279E-2</v>
      </c>
      <c r="F170" s="191">
        <v>162</v>
      </c>
      <c r="G170" s="251">
        <f t="shared" ca="1" si="9"/>
        <v>3.6877500999449309E-2</v>
      </c>
      <c r="H170" s="4"/>
    </row>
    <row r="171" spans="2:8" x14ac:dyDescent="0.25">
      <c r="B171" s="190">
        <v>43477</v>
      </c>
      <c r="C171">
        <v>680.82</v>
      </c>
      <c r="D171" s="49">
        <f t="shared" si="8"/>
        <v>-0.4048516106473185</v>
      </c>
      <c r="E171">
        <v>-2.3913978494623584E-2</v>
      </c>
      <c r="F171" s="191">
        <v>163</v>
      </c>
      <c r="G171" s="251">
        <f t="shared" ca="1" si="9"/>
        <v>9.0867223467693825E-2</v>
      </c>
      <c r="H171" s="4"/>
    </row>
    <row r="172" spans="2:8" x14ac:dyDescent="0.25">
      <c r="B172" s="190">
        <v>44936</v>
      </c>
      <c r="C172" s="191">
        <v>1143.95</v>
      </c>
      <c r="D172" s="49">
        <f t="shared" si="8"/>
        <v>-0.20025866890380314</v>
      </c>
      <c r="E172" s="191">
        <v>-2.4349680170575653E-2</v>
      </c>
      <c r="F172" s="191">
        <v>164</v>
      </c>
      <c r="G172" s="251">
        <f t="shared" ca="1" si="9"/>
        <v>4.1625809898700836E-2</v>
      </c>
      <c r="H172" s="4"/>
    </row>
    <row r="173" spans="2:8" x14ac:dyDescent="0.25">
      <c r="B173" s="190">
        <v>45296</v>
      </c>
      <c r="C173" s="191">
        <v>1430.4</v>
      </c>
      <c r="D173" s="49">
        <f t="shared" si="8"/>
        <v>5.6419019316493308</v>
      </c>
      <c r="E173" s="191">
        <v>-2.494887525562366E-2</v>
      </c>
      <c r="F173" s="191">
        <v>165</v>
      </c>
      <c r="G173" s="251">
        <f t="shared" ca="1" si="9"/>
        <v>1.5470237800392434E-2</v>
      </c>
      <c r="H173" s="4"/>
    </row>
    <row r="174" spans="2:8" x14ac:dyDescent="0.25">
      <c r="B174" s="190">
        <v>42374</v>
      </c>
      <c r="C174">
        <v>215.36</v>
      </c>
      <c r="D174" s="49">
        <f t="shared" si="8"/>
        <v>-0.81632409381663107</v>
      </c>
      <c r="E174">
        <v>-2.5255725536344639E-2</v>
      </c>
      <c r="F174" s="191">
        <v>166</v>
      </c>
      <c r="G174" s="251">
        <f t="shared" ca="1" si="9"/>
        <v>-5.1721059728672136E-2</v>
      </c>
      <c r="H174" s="4"/>
    </row>
    <row r="175" spans="2:8" x14ac:dyDescent="0.25">
      <c r="B175" s="190">
        <v>44935</v>
      </c>
      <c r="C175" s="191">
        <v>1172.5</v>
      </c>
      <c r="D175" s="49">
        <f t="shared" si="8"/>
        <v>-9.2632719393282811E-2</v>
      </c>
      <c r="E175" s="191">
        <v>-2.5758205234732032E-2</v>
      </c>
      <c r="F175" s="191">
        <v>167</v>
      </c>
      <c r="G175" s="251">
        <f t="shared" ca="1" si="9"/>
        <v>0.17632796744082777</v>
      </c>
      <c r="H175" s="4"/>
    </row>
    <row r="176" spans="2:8" x14ac:dyDescent="0.25">
      <c r="B176" s="190">
        <v>45302</v>
      </c>
      <c r="C176" s="191">
        <v>1292.2</v>
      </c>
      <c r="D176" s="49">
        <f t="shared" si="8"/>
        <v>4.4673154220435798</v>
      </c>
      <c r="E176" s="191">
        <v>-2.9916294433392072E-2</v>
      </c>
      <c r="F176" s="191">
        <v>168</v>
      </c>
      <c r="G176" s="251">
        <f t="shared" ca="1" si="9"/>
        <v>6.5739458957874714E-3</v>
      </c>
      <c r="H176" s="4"/>
    </row>
    <row r="177" spans="2:8" x14ac:dyDescent="0.25">
      <c r="B177" s="190">
        <v>42379</v>
      </c>
      <c r="C177">
        <v>236.35</v>
      </c>
      <c r="D177" s="49">
        <f t="shared" si="8"/>
        <v>-1.5782460231531573E-2</v>
      </c>
      <c r="E177">
        <v>-2.9961009644982602E-2</v>
      </c>
      <c r="F177" s="191">
        <v>169</v>
      </c>
      <c r="G177" s="251">
        <f t="shared" ca="1" si="9"/>
        <v>9.2609055343957497E-2</v>
      </c>
      <c r="H177" s="4"/>
    </row>
    <row r="178" spans="2:8" x14ac:dyDescent="0.25">
      <c r="B178" s="190">
        <v>39455</v>
      </c>
      <c r="C178">
        <v>240.14</v>
      </c>
      <c r="D178" s="49">
        <f t="shared" si="8"/>
        <v>0.12209709826643614</v>
      </c>
      <c r="E178">
        <v>-3.2317859445519063E-2</v>
      </c>
      <c r="F178" s="191">
        <v>170</v>
      </c>
      <c r="G178" s="251">
        <f t="shared" ca="1" si="9"/>
        <v>-2.1514723086015416E-3</v>
      </c>
      <c r="H178" s="4"/>
    </row>
    <row r="179" spans="2:8" x14ac:dyDescent="0.25">
      <c r="B179" s="190">
        <v>40548</v>
      </c>
      <c r="C179">
        <v>214.01</v>
      </c>
      <c r="D179" s="49">
        <f t="shared" si="8"/>
        <v>3.7600088967971526</v>
      </c>
      <c r="E179">
        <v>-3.2417035898363394E-2</v>
      </c>
      <c r="F179" s="191">
        <v>171</v>
      </c>
      <c r="G179" s="251">
        <f t="shared" ca="1" si="9"/>
        <v>-7.5809987262388176E-2</v>
      </c>
      <c r="H179" s="4"/>
    </row>
    <row r="180" spans="2:8" x14ac:dyDescent="0.25">
      <c r="B180" s="190">
        <v>38356</v>
      </c>
      <c r="C180">
        <v>44.96</v>
      </c>
      <c r="D180" s="49">
        <f t="shared" si="8"/>
        <v>-0.76481665533294962</v>
      </c>
      <c r="E180">
        <v>-3.2910303291030354E-2</v>
      </c>
      <c r="F180" s="191">
        <v>172</v>
      </c>
      <c r="G180" s="251">
        <f t="shared" ca="1" si="9"/>
        <v>5.5471113349944035E-2</v>
      </c>
      <c r="H180" s="4"/>
    </row>
    <row r="181" spans="2:8" x14ac:dyDescent="0.25">
      <c r="B181" s="190">
        <v>39088</v>
      </c>
      <c r="C181">
        <v>191.17</v>
      </c>
      <c r="D181" s="49">
        <f t="shared" si="8"/>
        <v>-0.83217599705032874</v>
      </c>
      <c r="E181">
        <v>-3.3127655270078958E-2</v>
      </c>
      <c r="F181" s="191">
        <v>173</v>
      </c>
      <c r="G181" s="251">
        <f t="shared" ca="1" si="9"/>
        <v>0.10183545304449482</v>
      </c>
      <c r="H181" s="4"/>
    </row>
    <row r="182" spans="2:8" x14ac:dyDescent="0.25">
      <c r="B182" s="190">
        <v>44568</v>
      </c>
      <c r="C182" s="191">
        <v>1139.1099999999999</v>
      </c>
      <c r="D182" s="49">
        <f t="shared" si="8"/>
        <v>4.1820125557274137</v>
      </c>
      <c r="E182" s="191">
        <v>-3.3210551330798574E-2</v>
      </c>
      <c r="F182" s="191">
        <v>174</v>
      </c>
      <c r="G182" s="251">
        <f t="shared" ca="1" si="9"/>
        <v>-5.5237364554233781E-2</v>
      </c>
      <c r="H182" s="4"/>
    </row>
    <row r="183" spans="2:8" x14ac:dyDescent="0.25">
      <c r="B183" s="190">
        <v>39820</v>
      </c>
      <c r="C183">
        <v>219.82</v>
      </c>
      <c r="D183" s="49">
        <f t="shared" si="8"/>
        <v>-6.4595744680851094E-2</v>
      </c>
      <c r="E183">
        <v>-3.3588323221665412E-2</v>
      </c>
      <c r="F183" s="191">
        <v>175</v>
      </c>
      <c r="G183" s="251">
        <f t="shared" ca="1" si="9"/>
        <v>7.0058627782555241E-2</v>
      </c>
      <c r="H183" s="4"/>
    </row>
    <row r="184" spans="2:8" x14ac:dyDescent="0.25">
      <c r="B184" s="190">
        <v>42736</v>
      </c>
      <c r="C184">
        <v>235</v>
      </c>
      <c r="D184" s="49">
        <f t="shared" si="8"/>
        <v>-0.74563796164003981</v>
      </c>
      <c r="E184">
        <v>-3.4352399737015177E-2</v>
      </c>
      <c r="F184" s="191">
        <v>176</v>
      </c>
      <c r="G184" s="251">
        <f t="shared" ca="1" si="9"/>
        <v>5.7117936776579614E-2</v>
      </c>
      <c r="H184" s="4"/>
    </row>
    <row r="185" spans="2:8" x14ac:dyDescent="0.25">
      <c r="B185" s="190">
        <v>44203</v>
      </c>
      <c r="C185">
        <v>923.88</v>
      </c>
      <c r="D185" s="49">
        <f t="shared" si="8"/>
        <v>3.9966468361276366</v>
      </c>
      <c r="E185">
        <v>-3.570645763967898E-2</v>
      </c>
      <c r="F185" s="191">
        <v>177</v>
      </c>
      <c r="G185" s="251">
        <f t="shared" ca="1" si="9"/>
        <v>-6.0754523625963869E-2</v>
      </c>
      <c r="H185" s="4"/>
    </row>
    <row r="186" spans="2:8" x14ac:dyDescent="0.25">
      <c r="B186" s="190">
        <v>41283</v>
      </c>
      <c r="C186">
        <v>184.9</v>
      </c>
      <c r="D186" s="49">
        <f t="shared" si="8"/>
        <v>2.8021794729233801E-2</v>
      </c>
      <c r="E186">
        <v>-3.6828671146533279E-2</v>
      </c>
      <c r="F186" s="191">
        <v>178</v>
      </c>
      <c r="G186" s="251">
        <f t="shared" ca="1" si="9"/>
        <v>5.0649372219200656E-2</v>
      </c>
      <c r="H186" s="4"/>
    </row>
    <row r="187" spans="2:8" x14ac:dyDescent="0.25">
      <c r="B187" s="190">
        <v>41641</v>
      </c>
      <c r="C187">
        <v>179.86</v>
      </c>
      <c r="D187" s="49">
        <f t="shared" si="8"/>
        <v>-0.22604242867593261</v>
      </c>
      <c r="E187">
        <v>-3.7512709370150325E-2</v>
      </c>
      <c r="F187" s="191">
        <v>179</v>
      </c>
      <c r="G187" s="251">
        <f t="shared" ca="1" si="9"/>
        <v>2.1477748995257902E-2</v>
      </c>
      <c r="H187" s="4"/>
    </row>
    <row r="188" spans="2:8" x14ac:dyDescent="0.25">
      <c r="B188" s="190">
        <v>40182</v>
      </c>
      <c r="C188">
        <v>232.39</v>
      </c>
      <c r="D188" s="49">
        <f t="shared" si="8"/>
        <v>0.28321369409166203</v>
      </c>
      <c r="E188">
        <v>-3.784209000952269E-2</v>
      </c>
      <c r="F188" s="191">
        <v>180</v>
      </c>
      <c r="G188" s="251">
        <f t="shared" ca="1" si="9"/>
        <v>-8.4546189938794654E-3</v>
      </c>
      <c r="H188" s="4"/>
    </row>
    <row r="189" spans="2:8" x14ac:dyDescent="0.25">
      <c r="B189" s="190">
        <v>40918</v>
      </c>
      <c r="C189">
        <v>181.1</v>
      </c>
      <c r="D189" s="49">
        <f t="shared" si="8"/>
        <v>-0.87970214490212106</v>
      </c>
      <c r="E189">
        <v>-3.7879190352228635E-2</v>
      </c>
      <c r="F189" s="191">
        <v>181</v>
      </c>
      <c r="G189" s="251">
        <f t="shared" ca="1" si="9"/>
        <v>4.2246625335384411E-2</v>
      </c>
      <c r="H189" s="4"/>
    </row>
    <row r="190" spans="2:8" x14ac:dyDescent="0.25">
      <c r="B190" s="190">
        <v>45298</v>
      </c>
      <c r="C190" s="191">
        <v>1505.43</v>
      </c>
      <c r="D190" s="49">
        <f t="shared" si="8"/>
        <v>22.189001848428834</v>
      </c>
      <c r="E190" s="191">
        <v>-3.8309697201993113E-2</v>
      </c>
      <c r="F190" s="191">
        <v>182</v>
      </c>
      <c r="G190" s="251">
        <f t="shared" ca="1" si="9"/>
        <v>0.17947590205152733</v>
      </c>
      <c r="H190" s="4"/>
    </row>
    <row r="191" spans="2:8" x14ac:dyDescent="0.25">
      <c r="B191" s="190">
        <v>38362</v>
      </c>
      <c r="C191">
        <v>64.92</v>
      </c>
      <c r="D191" s="49">
        <f t="shared" si="8"/>
        <v>-0.7846266131440135</v>
      </c>
      <c r="E191">
        <v>-3.9076376554174078E-2</v>
      </c>
      <c r="F191" s="191">
        <v>183</v>
      </c>
      <c r="G191" s="251">
        <f t="shared" ca="1" si="9"/>
        <v>3.3377965993387389E-3</v>
      </c>
      <c r="H191" s="4"/>
    </row>
    <row r="192" spans="2:8" x14ac:dyDescent="0.25">
      <c r="B192" s="190">
        <v>42740</v>
      </c>
      <c r="C192">
        <v>301.43</v>
      </c>
      <c r="D192" s="49">
        <f t="shared" si="8"/>
        <v>-0.66849230701551787</v>
      </c>
      <c r="E192">
        <v>-3.9083171283751446E-2</v>
      </c>
      <c r="F192" s="191">
        <v>184</v>
      </c>
      <c r="G192" s="251">
        <f t="shared" ca="1" si="9"/>
        <v>5.7707499948191257E-2</v>
      </c>
      <c r="H192" s="4"/>
    </row>
    <row r="193" spans="2:8" x14ac:dyDescent="0.25">
      <c r="B193" s="190">
        <v>44199</v>
      </c>
      <c r="C193">
        <v>909.27</v>
      </c>
      <c r="D193" s="49">
        <f t="shared" si="8"/>
        <v>0.80342727939863934</v>
      </c>
      <c r="E193" s="191">
        <v>-3.9648926394947208E-2</v>
      </c>
      <c r="F193" s="191">
        <v>185</v>
      </c>
      <c r="G193" s="251">
        <f t="shared" ca="1" si="9"/>
        <v>0.26477326403518592</v>
      </c>
      <c r="H193" s="4"/>
    </row>
    <row r="194" spans="2:8" x14ac:dyDescent="0.25">
      <c r="B194" s="190">
        <v>43112</v>
      </c>
      <c r="C194">
        <v>504.19</v>
      </c>
      <c r="D194" s="49">
        <f t="shared" si="8"/>
        <v>1.1434826970495708</v>
      </c>
      <c r="E194">
        <v>-3.9656387497380992E-2</v>
      </c>
      <c r="F194" s="191">
        <v>186</v>
      </c>
      <c r="G194" s="251">
        <f t="shared" ca="1" si="9"/>
        <v>-2.417167325364903E-3</v>
      </c>
      <c r="H194" s="4"/>
    </row>
    <row r="195" spans="2:8" x14ac:dyDescent="0.25">
      <c r="B195" s="190">
        <v>40179</v>
      </c>
      <c r="C195">
        <v>235.22</v>
      </c>
      <c r="D195" s="49">
        <f t="shared" si="8"/>
        <v>0.65263823508747265</v>
      </c>
      <c r="E195">
        <v>-4.0662343488723024E-2</v>
      </c>
      <c r="F195" s="191">
        <v>187</v>
      </c>
      <c r="G195" s="251">
        <f t="shared" ca="1" si="9"/>
        <v>1.7988877809266758E-2</v>
      </c>
      <c r="H195" s="4"/>
    </row>
    <row r="196" spans="2:8" x14ac:dyDescent="0.25">
      <c r="B196" s="190">
        <v>39815</v>
      </c>
      <c r="C196">
        <v>142.33000000000001</v>
      </c>
      <c r="D196" s="49">
        <f t="shared" si="8"/>
        <v>-0.65645667390779638</v>
      </c>
      <c r="E196">
        <v>-4.3416896296794003E-2</v>
      </c>
      <c r="F196" s="191">
        <v>188</v>
      </c>
      <c r="G196" s="251">
        <f t="shared" ca="1" si="9"/>
        <v>7.4499888010825369E-2</v>
      </c>
      <c r="H196" s="4"/>
    </row>
    <row r="197" spans="2:8" x14ac:dyDescent="0.25">
      <c r="B197" s="190">
        <v>43105</v>
      </c>
      <c r="C197">
        <v>414.3</v>
      </c>
      <c r="D197" s="49">
        <f t="shared" si="8"/>
        <v>-0.3073412134485814</v>
      </c>
      <c r="E197">
        <v>-4.3540493120325083E-2</v>
      </c>
      <c r="F197" s="191">
        <v>189</v>
      </c>
      <c r="G197" s="251">
        <f t="shared" ca="1" si="9"/>
        <v>-3.6367126637391584E-2</v>
      </c>
      <c r="H197" s="4"/>
    </row>
    <row r="198" spans="2:8" x14ac:dyDescent="0.25">
      <c r="B198" s="190">
        <v>43470</v>
      </c>
      <c r="C198">
        <v>598.13</v>
      </c>
      <c r="D198" s="49">
        <f t="shared" si="8"/>
        <v>2.2207743255613588</v>
      </c>
      <c r="E198">
        <v>-4.4978444834743669E-2</v>
      </c>
      <c r="F198" s="191">
        <v>190</v>
      </c>
      <c r="G198" s="251">
        <f t="shared" ca="1" si="9"/>
        <v>-3.5796183801038023E-2</v>
      </c>
      <c r="H198" s="4"/>
    </row>
    <row r="199" spans="2:8" x14ac:dyDescent="0.25">
      <c r="B199" s="190">
        <v>42007</v>
      </c>
      <c r="C199">
        <v>185.71</v>
      </c>
      <c r="D199" s="49">
        <f t="shared" si="8"/>
        <v>-0.18655278142794568</v>
      </c>
      <c r="E199">
        <v>-4.5241889877127052E-2</v>
      </c>
      <c r="F199" s="191">
        <v>191</v>
      </c>
      <c r="G199" s="251">
        <f t="shared" ca="1" si="9"/>
        <v>9.7660117908095079E-3</v>
      </c>
      <c r="H199" s="4"/>
    </row>
    <row r="200" spans="2:8" x14ac:dyDescent="0.25">
      <c r="B200" s="190">
        <v>41645</v>
      </c>
      <c r="C200">
        <v>228.3</v>
      </c>
      <c r="D200" s="49">
        <f t="shared" si="8"/>
        <v>0.31380560511020311</v>
      </c>
      <c r="E200">
        <v>-4.6286239451917385E-2</v>
      </c>
      <c r="F200" s="191">
        <v>192</v>
      </c>
      <c r="G200" s="251">
        <f t="shared" ca="1" si="9"/>
        <v>9.0711718569643676E-2</v>
      </c>
      <c r="H200" s="4"/>
    </row>
    <row r="201" spans="2:8" x14ac:dyDescent="0.25">
      <c r="B201" s="190">
        <v>41277</v>
      </c>
      <c r="C201">
        <v>173.77</v>
      </c>
      <c r="D201" s="49">
        <f t="shared" ref="D201:D255" si="10">(C201-C202)/C202</f>
        <v>-0.85520373302224817</v>
      </c>
      <c r="E201">
        <v>-5.0333369767187559E-2</v>
      </c>
      <c r="F201" s="191">
        <v>193</v>
      </c>
      <c r="G201" s="251">
        <f t="shared" ca="1" si="9"/>
        <v>0.11118606716214421</v>
      </c>
      <c r="H201" s="4"/>
    </row>
    <row r="202" spans="2:8" x14ac:dyDescent="0.25">
      <c r="B202" s="190">
        <v>45659</v>
      </c>
      <c r="C202" s="191">
        <v>1200.0999999999999</v>
      </c>
      <c r="D202" s="49">
        <f t="shared" si="10"/>
        <v>9.9113455691101388E-2</v>
      </c>
      <c r="E202" s="191">
        <v>-5.1379337601770617E-2</v>
      </c>
      <c r="F202" s="191">
        <v>194</v>
      </c>
      <c r="G202" s="251">
        <f t="shared" ref="G202:G256" ca="1" si="11">_xlfn.NORM.INV(RAND(),M$11,M$12)</f>
        <v>-0.17874183308637062</v>
      </c>
      <c r="H202" s="4"/>
    </row>
    <row r="203" spans="2:8" x14ac:dyDescent="0.25">
      <c r="B203" s="190">
        <v>44207</v>
      </c>
      <c r="C203" s="191">
        <v>1091.8800000000001</v>
      </c>
      <c r="D203" s="49">
        <f t="shared" si="10"/>
        <v>5.8827534039334353</v>
      </c>
      <c r="E203" s="191">
        <v>-5.1594746716697816E-2</v>
      </c>
      <c r="F203" s="191">
        <v>195</v>
      </c>
      <c r="G203" s="251">
        <f t="shared" ca="1" si="11"/>
        <v>-0.17104011165817487</v>
      </c>
      <c r="H203" s="4"/>
    </row>
    <row r="204" spans="2:8" x14ac:dyDescent="0.25">
      <c r="B204" s="190">
        <v>40913</v>
      </c>
      <c r="C204">
        <v>158.63999999999999</v>
      </c>
      <c r="D204" s="49">
        <f t="shared" si="10"/>
        <v>-0.25391525184592961</v>
      </c>
      <c r="E204">
        <v>-5.3008595988538819E-2</v>
      </c>
      <c r="F204" s="191">
        <v>196</v>
      </c>
      <c r="G204" s="251">
        <f t="shared" ca="1" si="11"/>
        <v>-5.0065344751728177E-2</v>
      </c>
      <c r="H204" s="4"/>
    </row>
    <row r="205" spans="2:8" x14ac:dyDescent="0.25">
      <c r="B205" s="190">
        <v>41648</v>
      </c>
      <c r="C205">
        <v>212.63</v>
      </c>
      <c r="D205" s="49">
        <f t="shared" si="10"/>
        <v>9.3157164156084549E-2</v>
      </c>
      <c r="E205">
        <v>-5.3041774294112394E-2</v>
      </c>
      <c r="F205" s="191">
        <v>197</v>
      </c>
      <c r="G205" s="251">
        <f t="shared" ca="1" si="11"/>
        <v>-0.13635629201956806</v>
      </c>
      <c r="H205" s="4"/>
    </row>
    <row r="206" spans="2:8" x14ac:dyDescent="0.25">
      <c r="B206" s="190">
        <v>42006</v>
      </c>
      <c r="C206">
        <v>194.51</v>
      </c>
      <c r="D206" s="49">
        <f t="shared" si="10"/>
        <v>0.10548451264563799</v>
      </c>
      <c r="E206">
        <v>-5.4767227135776121E-2</v>
      </c>
      <c r="F206" s="191">
        <v>198</v>
      </c>
      <c r="G206" s="251">
        <f t="shared" ca="1" si="11"/>
        <v>-1.2728636720974809E-2</v>
      </c>
      <c r="H206" s="4"/>
    </row>
    <row r="207" spans="2:8" x14ac:dyDescent="0.25">
      <c r="B207" s="190">
        <v>40551</v>
      </c>
      <c r="C207">
        <v>175.95</v>
      </c>
      <c r="D207" s="49">
        <f t="shared" si="10"/>
        <v>-0.85380141254673869</v>
      </c>
      <c r="E207">
        <v>-5.4794520547945293E-2</v>
      </c>
      <c r="F207" s="191">
        <v>199</v>
      </c>
      <c r="G207" s="251">
        <f t="shared" ca="1" si="11"/>
        <v>0.1746775396724751</v>
      </c>
      <c r="H207" s="4"/>
    </row>
    <row r="208" spans="2:8" x14ac:dyDescent="0.25">
      <c r="B208" s="190">
        <v>44934</v>
      </c>
      <c r="C208" s="191">
        <v>1203.5</v>
      </c>
      <c r="D208" s="49">
        <f t="shared" si="10"/>
        <v>4.957625860105936</v>
      </c>
      <c r="E208" s="191">
        <v>-5.5804429520723745E-2</v>
      </c>
      <c r="F208" s="191">
        <v>200</v>
      </c>
      <c r="G208" s="251">
        <f t="shared" ca="1" si="11"/>
        <v>2.4918251290704151E-2</v>
      </c>
      <c r="H208" s="4"/>
    </row>
    <row r="209" spans="2:8" x14ac:dyDescent="0.25">
      <c r="B209" s="190">
        <v>40549</v>
      </c>
      <c r="C209">
        <v>202.01</v>
      </c>
      <c r="D209" s="49">
        <f t="shared" si="10"/>
        <v>-0.83095963315035482</v>
      </c>
      <c r="E209">
        <v>-5.6072146161394332E-2</v>
      </c>
      <c r="F209" s="191">
        <v>201</v>
      </c>
      <c r="G209" s="251">
        <f t="shared" ca="1" si="11"/>
        <v>-9.8341473493041801E-2</v>
      </c>
      <c r="H209" s="4"/>
    </row>
    <row r="210" spans="2:8" x14ac:dyDescent="0.25">
      <c r="B210" s="190">
        <v>44566</v>
      </c>
      <c r="C210" s="191">
        <v>1195.04</v>
      </c>
      <c r="D210" s="49">
        <f t="shared" si="10"/>
        <v>1.120820614751189</v>
      </c>
      <c r="E210" s="191">
        <v>-5.6482811981872418E-2</v>
      </c>
      <c r="F210" s="191">
        <v>202</v>
      </c>
      <c r="G210" s="251">
        <f t="shared" ca="1" si="11"/>
        <v>0.18950627869408462</v>
      </c>
      <c r="H210" s="4"/>
    </row>
    <row r="211" spans="2:8" x14ac:dyDescent="0.25">
      <c r="B211" s="190">
        <v>43471</v>
      </c>
      <c r="C211">
        <v>563.48</v>
      </c>
      <c r="D211" s="49">
        <f t="shared" si="10"/>
        <v>1.5313566936208445</v>
      </c>
      <c r="E211">
        <v>-5.7930550214836202E-2</v>
      </c>
      <c r="F211" s="191">
        <v>203</v>
      </c>
      <c r="G211" s="251">
        <f t="shared" ca="1" si="11"/>
        <v>-3.5070675888043579E-2</v>
      </c>
      <c r="H211" s="4"/>
    </row>
    <row r="212" spans="2:8" x14ac:dyDescent="0.25">
      <c r="B212" s="190">
        <v>42380</v>
      </c>
      <c r="C212">
        <v>222.6</v>
      </c>
      <c r="D212" s="49">
        <f t="shared" si="10"/>
        <v>-0.62741652021089633</v>
      </c>
      <c r="E212">
        <v>-5.8176433255764756E-2</v>
      </c>
      <c r="F212" s="191">
        <v>204</v>
      </c>
      <c r="G212" s="251">
        <f t="shared" ca="1" si="11"/>
        <v>-5.9106741324842019E-2</v>
      </c>
      <c r="H212" s="4"/>
    </row>
    <row r="213" spans="2:8" x14ac:dyDescent="0.25">
      <c r="B213" s="190">
        <v>43832</v>
      </c>
      <c r="C213">
        <v>597.45000000000005</v>
      </c>
      <c r="D213" s="49">
        <f t="shared" si="10"/>
        <v>-0.50845365913859064</v>
      </c>
      <c r="E213">
        <v>-5.8792948627061671E-2</v>
      </c>
      <c r="F213" s="191">
        <v>205</v>
      </c>
      <c r="G213" s="251">
        <f t="shared" ca="1" si="11"/>
        <v>5.2503906506728912E-2</v>
      </c>
      <c r="H213" s="4"/>
    </row>
    <row r="214" spans="2:8" x14ac:dyDescent="0.25">
      <c r="B214" s="190">
        <v>45303</v>
      </c>
      <c r="C214" s="191">
        <v>1215.45</v>
      </c>
      <c r="D214" s="49">
        <f t="shared" si="10"/>
        <v>4.5012673123925051</v>
      </c>
      <c r="E214" s="191">
        <v>-5.9394830521591085E-2</v>
      </c>
      <c r="F214" s="191">
        <v>206</v>
      </c>
      <c r="G214" s="251">
        <f t="shared" ca="1" si="11"/>
        <v>-3.6251735699665139E-2</v>
      </c>
      <c r="H214" s="4"/>
    </row>
    <row r="215" spans="2:8" x14ac:dyDescent="0.25">
      <c r="B215" s="190">
        <v>42373</v>
      </c>
      <c r="C215">
        <v>220.94</v>
      </c>
      <c r="D215" s="49">
        <f t="shared" si="10"/>
        <v>-0.74778250893275033</v>
      </c>
      <c r="E215">
        <v>-5.9829787234042565E-2</v>
      </c>
      <c r="F215" s="191">
        <v>207</v>
      </c>
      <c r="G215" s="251">
        <f t="shared" ca="1" si="11"/>
        <v>-6.5896745028750994E-2</v>
      </c>
      <c r="H215" s="4"/>
    </row>
    <row r="216" spans="2:8" x14ac:dyDescent="0.25">
      <c r="B216" s="190">
        <v>43841</v>
      </c>
      <c r="C216">
        <v>875.99</v>
      </c>
      <c r="D216" s="49">
        <f t="shared" si="10"/>
        <v>2.9605298851614066</v>
      </c>
      <c r="E216">
        <v>-6.0701265279862762E-2</v>
      </c>
      <c r="F216" s="191">
        <v>208</v>
      </c>
      <c r="G216" s="251">
        <f t="shared" ca="1" si="11"/>
        <v>-0.12949883377375876</v>
      </c>
      <c r="H216" s="4"/>
    </row>
    <row r="217" spans="2:8" x14ac:dyDescent="0.25">
      <c r="B217" s="190">
        <v>40547</v>
      </c>
      <c r="C217">
        <v>221.18</v>
      </c>
      <c r="D217" s="49">
        <f t="shared" si="10"/>
        <v>4.9068605179464451E-3</v>
      </c>
      <c r="E217">
        <v>-6.2280069529825739E-2</v>
      </c>
      <c r="F217" s="191">
        <v>209</v>
      </c>
      <c r="G217" s="251">
        <f t="shared" ca="1" si="11"/>
        <v>-0.10410924985148477</v>
      </c>
      <c r="H217" s="4"/>
    </row>
    <row r="218" spans="2:8" x14ac:dyDescent="0.25">
      <c r="B218" s="190">
        <v>40180</v>
      </c>
      <c r="C218">
        <v>220.1</v>
      </c>
      <c r="D218" s="49">
        <f t="shared" si="10"/>
        <v>1.2698996963283292E-2</v>
      </c>
      <c r="E218">
        <v>-6.428024827820765E-2</v>
      </c>
      <c r="F218" s="191">
        <v>210</v>
      </c>
      <c r="G218" s="251">
        <f t="shared" ca="1" si="11"/>
        <v>0.11565255820227519</v>
      </c>
      <c r="H218" s="4"/>
    </row>
    <row r="219" spans="2:8" x14ac:dyDescent="0.25">
      <c r="B219" s="190">
        <v>42371</v>
      </c>
      <c r="C219">
        <v>217.34</v>
      </c>
      <c r="D219" s="49">
        <f t="shared" si="10"/>
        <v>0.13298232810300781</v>
      </c>
      <c r="E219">
        <v>-6.6368830276214569E-2</v>
      </c>
      <c r="F219" s="191">
        <v>211</v>
      </c>
      <c r="G219" s="251">
        <f t="shared" ca="1" si="11"/>
        <v>4.8872174506168181E-2</v>
      </c>
      <c r="H219" s="4"/>
    </row>
    <row r="220" spans="2:8" x14ac:dyDescent="0.25">
      <c r="B220" s="190">
        <v>41285</v>
      </c>
      <c r="C220">
        <v>191.83</v>
      </c>
      <c r="D220" s="49">
        <f t="shared" si="10"/>
        <v>0.78845795263844864</v>
      </c>
      <c r="E220">
        <v>-6.724691237965566E-2</v>
      </c>
      <c r="F220" s="191">
        <v>212</v>
      </c>
      <c r="G220" s="251">
        <f t="shared" ca="1" si="11"/>
        <v>-2.9178778893780993E-2</v>
      </c>
      <c r="H220" s="4"/>
    </row>
    <row r="221" spans="2:8" x14ac:dyDescent="0.25">
      <c r="B221" s="190">
        <v>38722</v>
      </c>
      <c r="C221">
        <v>107.26</v>
      </c>
      <c r="D221" s="49">
        <f t="shared" si="10"/>
        <v>-0.90723459459459466</v>
      </c>
      <c r="E221">
        <v>-6.7304347826086908E-2</v>
      </c>
      <c r="F221" s="191">
        <v>213</v>
      </c>
      <c r="G221" s="251">
        <f t="shared" ca="1" si="11"/>
        <v>8.9743623364746047E-2</v>
      </c>
      <c r="H221" s="4"/>
    </row>
    <row r="222" spans="2:8" x14ac:dyDescent="0.25">
      <c r="B222" s="190">
        <v>44573</v>
      </c>
      <c r="C222" s="191">
        <v>1156.25</v>
      </c>
      <c r="D222" s="49">
        <f t="shared" si="10"/>
        <v>0.8215259070214409</v>
      </c>
      <c r="E222" s="191">
        <v>-6.7419989676087172E-2</v>
      </c>
      <c r="F222" s="191">
        <v>214</v>
      </c>
      <c r="G222" s="251">
        <f t="shared" ca="1" si="11"/>
        <v>-2.0259222628985298E-2</v>
      </c>
      <c r="H222" s="4"/>
    </row>
    <row r="223" spans="2:8" x14ac:dyDescent="0.25">
      <c r="B223" s="190">
        <v>43831</v>
      </c>
      <c r="C223">
        <v>634.77</v>
      </c>
      <c r="D223" s="49">
        <f t="shared" si="10"/>
        <v>0.21042294344227916</v>
      </c>
      <c r="E223">
        <v>-6.7639023530448678E-2</v>
      </c>
      <c r="F223" s="191">
        <v>215</v>
      </c>
      <c r="G223" s="251">
        <f t="shared" ca="1" si="11"/>
        <v>-2.8350414521040177E-2</v>
      </c>
      <c r="H223" s="4"/>
    </row>
    <row r="224" spans="2:8" x14ac:dyDescent="0.25">
      <c r="B224" s="190">
        <v>43472</v>
      </c>
      <c r="C224">
        <v>524.41999999999996</v>
      </c>
      <c r="D224" s="49">
        <f t="shared" si="10"/>
        <v>1.8063359554770693</v>
      </c>
      <c r="E224">
        <v>-6.9319230496202269E-2</v>
      </c>
      <c r="F224" s="191">
        <v>216</v>
      </c>
      <c r="G224" s="251">
        <f t="shared" ca="1" si="11"/>
        <v>3.2334686028501487E-2</v>
      </c>
      <c r="H224" s="4"/>
    </row>
    <row r="225" spans="2:8" x14ac:dyDescent="0.25">
      <c r="B225" s="190">
        <v>41640</v>
      </c>
      <c r="C225">
        <v>186.87</v>
      </c>
      <c r="D225" s="49">
        <f t="shared" si="10"/>
        <v>-0.77650069966870383</v>
      </c>
      <c r="E225">
        <v>-7.1545684900879439E-2</v>
      </c>
      <c r="F225" s="191">
        <v>217</v>
      </c>
      <c r="G225" s="251">
        <f t="shared" ca="1" si="11"/>
        <v>5.8399207901132941E-2</v>
      </c>
      <c r="H225" s="4"/>
    </row>
    <row r="226" spans="2:8" x14ac:dyDescent="0.25">
      <c r="B226" s="190">
        <v>44197</v>
      </c>
      <c r="C226">
        <v>836.11</v>
      </c>
      <c r="D226" s="49">
        <f t="shared" si="10"/>
        <v>-0.3985685512875845</v>
      </c>
      <c r="E226">
        <v>-7.2215626005614833E-2</v>
      </c>
      <c r="F226" s="191">
        <v>218</v>
      </c>
      <c r="G226" s="251">
        <f t="shared" ca="1" si="11"/>
        <v>0.14026070960828749</v>
      </c>
      <c r="H226" s="4"/>
    </row>
    <row r="227" spans="2:8" x14ac:dyDescent="0.25">
      <c r="B227" s="190">
        <v>45664</v>
      </c>
      <c r="C227" s="191">
        <v>1390.2</v>
      </c>
      <c r="D227" s="49">
        <f t="shared" si="10"/>
        <v>5.1242290748898682</v>
      </c>
      <c r="E227" s="191">
        <v>-7.3570571771291393E-2</v>
      </c>
      <c r="F227" s="191">
        <v>219</v>
      </c>
      <c r="G227" s="251">
        <f t="shared" ca="1" si="11"/>
        <v>-4.8806812225092408E-2</v>
      </c>
      <c r="H227" s="4"/>
    </row>
    <row r="228" spans="2:8" x14ac:dyDescent="0.25">
      <c r="B228" s="190">
        <v>40185</v>
      </c>
      <c r="C228">
        <v>227</v>
      </c>
      <c r="D228" s="49">
        <f t="shared" si="10"/>
        <v>-0.42809634183210726</v>
      </c>
      <c r="E228">
        <v>-7.3582826592662132E-2</v>
      </c>
      <c r="F228" s="191">
        <v>220</v>
      </c>
      <c r="G228" s="251">
        <f t="shared" ca="1" si="11"/>
        <v>-6.2519786416093348E-2</v>
      </c>
      <c r="H228" s="4"/>
    </row>
    <row r="229" spans="2:8" x14ac:dyDescent="0.25">
      <c r="B229" s="190">
        <v>43103</v>
      </c>
      <c r="C229">
        <v>396.92</v>
      </c>
      <c r="D229" s="49">
        <f t="shared" si="10"/>
        <v>-0.62851901766996099</v>
      </c>
      <c r="E229">
        <v>-7.5274328448617298E-2</v>
      </c>
      <c r="F229" s="191">
        <v>221</v>
      </c>
      <c r="G229" s="251">
        <f t="shared" ca="1" si="11"/>
        <v>-7.5223066590664911E-2</v>
      </c>
      <c r="H229" s="4"/>
    </row>
    <row r="230" spans="2:8" x14ac:dyDescent="0.25">
      <c r="B230" s="190">
        <v>44927</v>
      </c>
      <c r="C230" s="191">
        <v>1068.48</v>
      </c>
      <c r="D230" s="49">
        <f t="shared" si="10"/>
        <v>8.710806143778969</v>
      </c>
      <c r="E230" s="191">
        <v>-7.590918918918918E-2</v>
      </c>
      <c r="F230" s="191">
        <v>222</v>
      </c>
      <c r="G230" s="251">
        <f t="shared" ca="1" si="11"/>
        <v>-7.6446625862027384E-2</v>
      </c>
      <c r="H230" s="4"/>
    </row>
    <row r="231" spans="2:8" x14ac:dyDescent="0.25">
      <c r="B231" s="190">
        <v>38724</v>
      </c>
      <c r="C231">
        <v>110.03</v>
      </c>
      <c r="D231" s="49">
        <f t="shared" si="10"/>
        <v>-0.40891753961858718</v>
      </c>
      <c r="E231">
        <v>-7.6464663421185158E-2</v>
      </c>
      <c r="F231" s="191">
        <v>223</v>
      </c>
      <c r="G231" s="251">
        <f t="shared" ca="1" si="11"/>
        <v>4.6135323186233007E-2</v>
      </c>
      <c r="H231" s="4"/>
    </row>
    <row r="232" spans="2:8" x14ac:dyDescent="0.25">
      <c r="B232" s="190">
        <v>40550</v>
      </c>
      <c r="C232">
        <v>186.15</v>
      </c>
      <c r="D232" s="49">
        <f t="shared" si="10"/>
        <v>-0.26916885870205332</v>
      </c>
      <c r="E232">
        <v>-7.8510964803722522E-2</v>
      </c>
      <c r="F232" s="191">
        <v>224</v>
      </c>
      <c r="G232" s="251">
        <f t="shared" ca="1" si="11"/>
        <v>3.4283321341303311E-2</v>
      </c>
      <c r="H232" s="4"/>
    </row>
    <row r="233" spans="2:8" x14ac:dyDescent="0.25">
      <c r="B233" s="190">
        <v>39450</v>
      </c>
      <c r="C233">
        <v>254.71</v>
      </c>
      <c r="D233" s="49">
        <f t="shared" si="10"/>
        <v>-0.72688183572807208</v>
      </c>
      <c r="E233">
        <v>-8.0236882966814707E-2</v>
      </c>
      <c r="F233" s="191">
        <v>225</v>
      </c>
      <c r="G233" s="251">
        <f t="shared" ca="1" si="11"/>
        <v>7.1232031392763559E-2</v>
      </c>
      <c r="H233" s="4"/>
    </row>
    <row r="234" spans="2:8" x14ac:dyDescent="0.25">
      <c r="B234" s="190">
        <v>43840</v>
      </c>
      <c r="C234">
        <v>932.6</v>
      </c>
      <c r="D234" s="49">
        <f t="shared" si="10"/>
        <v>2.4516451386061662</v>
      </c>
      <c r="E234" s="191">
        <v>-8.0493768733238671E-2</v>
      </c>
      <c r="F234" s="191">
        <v>226</v>
      </c>
      <c r="G234" s="251">
        <f t="shared" ca="1" si="11"/>
        <v>5.7634794637629203E-2</v>
      </c>
      <c r="H234" s="4"/>
    </row>
    <row r="235" spans="2:8" x14ac:dyDescent="0.25">
      <c r="B235" s="190">
        <v>39452</v>
      </c>
      <c r="C235">
        <v>270.19</v>
      </c>
      <c r="D235" s="49">
        <f t="shared" si="10"/>
        <v>0.47660946551535693</v>
      </c>
      <c r="E235">
        <v>-8.0704977714266352E-2</v>
      </c>
      <c r="F235" s="191">
        <v>227</v>
      </c>
      <c r="G235" s="251">
        <f t="shared" ca="1" si="11"/>
        <v>-9.5593396724913508E-3</v>
      </c>
      <c r="H235" s="4"/>
    </row>
    <row r="236" spans="2:8" x14ac:dyDescent="0.25">
      <c r="B236" s="190">
        <v>41276</v>
      </c>
      <c r="C236">
        <v>182.98</v>
      </c>
      <c r="D236" s="49">
        <f t="shared" si="10"/>
        <v>8.4261673382318089E-2</v>
      </c>
      <c r="E236">
        <v>-8.2116879859543537E-2</v>
      </c>
      <c r="F236" s="191">
        <v>228</v>
      </c>
      <c r="G236" s="251">
        <f t="shared" ca="1" si="11"/>
        <v>6.1808464595541901E-2</v>
      </c>
      <c r="H236" s="4"/>
    </row>
    <row r="237" spans="2:8" x14ac:dyDescent="0.25">
      <c r="B237" s="190">
        <v>40911</v>
      </c>
      <c r="C237">
        <v>168.76</v>
      </c>
      <c r="D237" s="49">
        <f t="shared" si="10"/>
        <v>-0.22989869489823855</v>
      </c>
      <c r="E237">
        <v>-8.5460358749254922E-2</v>
      </c>
      <c r="F237" s="191">
        <v>229</v>
      </c>
      <c r="G237" s="251">
        <f t="shared" ca="1" si="11"/>
        <v>1.5183911001164783E-2</v>
      </c>
      <c r="H237" s="4"/>
    </row>
    <row r="238" spans="2:8" x14ac:dyDescent="0.25">
      <c r="B238" s="190">
        <v>39456</v>
      </c>
      <c r="C238">
        <v>219.14</v>
      </c>
      <c r="D238" s="49">
        <f t="shared" si="10"/>
        <v>6.0337736488121158E-2</v>
      </c>
      <c r="E238">
        <v>-8.7448988090280677E-2</v>
      </c>
      <c r="F238" s="191">
        <v>230</v>
      </c>
      <c r="G238" s="251">
        <f t="shared" ca="1" si="11"/>
        <v>1.3397442289172053E-2</v>
      </c>
      <c r="H238" s="4"/>
    </row>
    <row r="239" spans="2:8" x14ac:dyDescent="0.25">
      <c r="B239" s="190">
        <v>40186</v>
      </c>
      <c r="C239">
        <v>206.67</v>
      </c>
      <c r="D239" s="49">
        <f t="shared" si="10"/>
        <v>-0.84484816636012161</v>
      </c>
      <c r="E239">
        <v>-8.9559471365638826E-2</v>
      </c>
      <c r="F239" s="191">
        <v>231</v>
      </c>
      <c r="G239" s="251">
        <f t="shared" ca="1" si="11"/>
        <v>6.1655476174225399E-2</v>
      </c>
      <c r="H239" s="4"/>
    </row>
    <row r="240" spans="2:8" x14ac:dyDescent="0.25">
      <c r="B240" s="190">
        <v>45301</v>
      </c>
      <c r="C240" s="191">
        <v>1332.05</v>
      </c>
      <c r="D240" s="49">
        <f t="shared" si="10"/>
        <v>0.23414525677966891</v>
      </c>
      <c r="E240" s="191">
        <v>-9.7875481690675004E-2</v>
      </c>
      <c r="F240" s="191">
        <v>232</v>
      </c>
      <c r="G240" s="251">
        <f t="shared" ca="1" si="11"/>
        <v>-0.14455725424809091</v>
      </c>
      <c r="H240" s="4"/>
    </row>
    <row r="241" spans="2:8" x14ac:dyDescent="0.25">
      <c r="B241" s="190">
        <v>44570</v>
      </c>
      <c r="C241" s="191">
        <v>1079.33</v>
      </c>
      <c r="D241" s="49">
        <f t="shared" si="10"/>
        <v>3.87062274368231</v>
      </c>
      <c r="E241" s="191">
        <v>-9.8635422234099518E-2</v>
      </c>
      <c r="F241" s="191">
        <v>233</v>
      </c>
      <c r="G241" s="251">
        <f t="shared" ca="1" si="11"/>
        <v>3.5672404108798572E-2</v>
      </c>
      <c r="H241" s="4"/>
    </row>
    <row r="242" spans="2:8" x14ac:dyDescent="0.25">
      <c r="B242" s="190">
        <v>40189</v>
      </c>
      <c r="C242">
        <v>221.6</v>
      </c>
      <c r="D242" s="49">
        <f t="shared" si="10"/>
        <v>0.10600918346975434</v>
      </c>
      <c r="E242">
        <v>-0.10090477542905832</v>
      </c>
      <c r="F242" s="191">
        <v>234</v>
      </c>
      <c r="G242" s="251">
        <f t="shared" ca="1" si="11"/>
        <v>-5.3524429181748934E-2</v>
      </c>
      <c r="H242" s="4"/>
    </row>
    <row r="243" spans="2:8" x14ac:dyDescent="0.25">
      <c r="B243" s="190">
        <v>41651</v>
      </c>
      <c r="C243">
        <v>200.36</v>
      </c>
      <c r="D243" s="49">
        <f t="shared" si="10"/>
        <v>-0.11914182713444119</v>
      </c>
      <c r="E243">
        <v>-0.10132316662928897</v>
      </c>
      <c r="F243" s="191">
        <v>235</v>
      </c>
      <c r="G243" s="251">
        <f t="shared" ca="1" si="11"/>
        <v>-3.1124489871317242E-2</v>
      </c>
      <c r="H243" s="4"/>
    </row>
    <row r="244" spans="2:8" x14ac:dyDescent="0.25">
      <c r="B244" s="190">
        <v>39819</v>
      </c>
      <c r="C244">
        <v>227.46</v>
      </c>
      <c r="D244" s="49">
        <f t="shared" si="10"/>
        <v>0.4599486521181001</v>
      </c>
      <c r="E244">
        <v>-0.10939702427564603</v>
      </c>
      <c r="F244" s="191">
        <v>236</v>
      </c>
      <c r="G244" s="251">
        <f t="shared" ca="1" si="11"/>
        <v>6.9820728793898626E-2</v>
      </c>
      <c r="H244" s="4"/>
    </row>
    <row r="245" spans="2:8" x14ac:dyDescent="0.25">
      <c r="B245" s="190">
        <v>40555</v>
      </c>
      <c r="C245">
        <v>155.80000000000001</v>
      </c>
      <c r="D245" s="49">
        <f t="shared" si="10"/>
        <v>-0.10961252714595943</v>
      </c>
      <c r="E245">
        <v>-0.10961252714595943</v>
      </c>
      <c r="F245" s="191">
        <v>237</v>
      </c>
      <c r="G245" s="251">
        <f t="shared" ca="1" si="11"/>
        <v>6.0358256565744964E-2</v>
      </c>
      <c r="H245" s="4"/>
    </row>
    <row r="246" spans="2:8" x14ac:dyDescent="0.25">
      <c r="B246" s="190">
        <v>40554</v>
      </c>
      <c r="C246">
        <v>174.98</v>
      </c>
      <c r="D246" s="49">
        <f t="shared" si="10"/>
        <v>-0.19397484914090937</v>
      </c>
      <c r="E246">
        <v>-0.11312721743537769</v>
      </c>
      <c r="F246" s="191">
        <v>238</v>
      </c>
      <c r="G246" s="251">
        <f t="shared" ca="1" si="11"/>
        <v>-8.8662062100179614E-2</v>
      </c>
      <c r="H246" s="4"/>
    </row>
    <row r="247" spans="2:8" x14ac:dyDescent="0.25">
      <c r="B247" s="190">
        <v>39823</v>
      </c>
      <c r="C247">
        <v>217.09</v>
      </c>
      <c r="D247" s="49">
        <f t="shared" si="10"/>
        <v>-7.8291512758459636E-2</v>
      </c>
      <c r="E247">
        <v>-0.12286868686868685</v>
      </c>
      <c r="F247" s="191">
        <v>239</v>
      </c>
      <c r="G247" s="251">
        <f t="shared" ca="1" si="11"/>
        <v>1.4079518560861546E-2</v>
      </c>
      <c r="H247" s="4"/>
    </row>
    <row r="248" spans="2:8" x14ac:dyDescent="0.25">
      <c r="B248" s="190">
        <v>39453</v>
      </c>
      <c r="C248">
        <v>235.53</v>
      </c>
      <c r="D248" s="49">
        <f t="shared" si="10"/>
        <v>0.13953263341235669</v>
      </c>
      <c r="E248">
        <v>-0.12828009918945926</v>
      </c>
      <c r="F248" s="191">
        <v>240</v>
      </c>
      <c r="G248" s="251">
        <f t="shared" ca="1" si="11"/>
        <v>0.12761216296653741</v>
      </c>
      <c r="H248" s="4"/>
    </row>
    <row r="249" spans="2:8" x14ac:dyDescent="0.25">
      <c r="B249" s="190">
        <v>40544</v>
      </c>
      <c r="C249">
        <v>206.69</v>
      </c>
      <c r="D249" s="49">
        <f t="shared" si="10"/>
        <v>-0.25829834571356808</v>
      </c>
      <c r="E249">
        <v>-0.13166407595681218</v>
      </c>
      <c r="F249" s="191">
        <v>241</v>
      </c>
      <c r="G249" s="251">
        <f t="shared" ca="1" si="11"/>
        <v>-0.13095686888410146</v>
      </c>
      <c r="H249" s="4"/>
    </row>
    <row r="250" spans="2:8" x14ac:dyDescent="0.25">
      <c r="B250" s="190">
        <v>39448</v>
      </c>
      <c r="C250">
        <v>278.67</v>
      </c>
      <c r="D250" s="49">
        <f t="shared" si="10"/>
        <v>0.4481629683521281</v>
      </c>
      <c r="E250">
        <v>-0.14006665432327342</v>
      </c>
      <c r="F250" s="191">
        <v>242</v>
      </c>
      <c r="G250" s="251">
        <f t="shared" ca="1" si="11"/>
        <v>0.14268491696388683</v>
      </c>
      <c r="H250" s="4"/>
    </row>
    <row r="251" spans="2:8" x14ac:dyDescent="0.25">
      <c r="B251" s="190">
        <v>42012</v>
      </c>
      <c r="C251">
        <v>192.43</v>
      </c>
      <c r="D251" s="49">
        <f t="shared" si="10"/>
        <v>-0.59676033612036627</v>
      </c>
      <c r="E251">
        <v>-0.14570477247502772</v>
      </c>
      <c r="F251" s="191">
        <v>243</v>
      </c>
      <c r="G251" s="251">
        <f t="shared" ca="1" si="11"/>
        <v>7.7458559355692819E-2</v>
      </c>
      <c r="H251" s="4"/>
    </row>
    <row r="252" spans="2:8" x14ac:dyDescent="0.25">
      <c r="B252" s="190">
        <v>43110</v>
      </c>
      <c r="C252">
        <v>477.21</v>
      </c>
      <c r="D252" s="49">
        <f t="shared" si="10"/>
        <v>-4.7142685994968278E-2</v>
      </c>
      <c r="E252">
        <v>-0.15636601492062369</v>
      </c>
      <c r="F252" s="191">
        <v>244</v>
      </c>
      <c r="G252" s="251">
        <f t="shared" ca="1" si="11"/>
        <v>-6.6459678626516305E-2</v>
      </c>
      <c r="H252" s="4"/>
    </row>
    <row r="253" spans="2:8" x14ac:dyDescent="0.25">
      <c r="B253" s="190">
        <v>43833</v>
      </c>
      <c r="C253">
        <v>500.82</v>
      </c>
      <c r="D253" s="49">
        <f t="shared" si="10"/>
        <v>2.9270759821218535</v>
      </c>
      <c r="E253">
        <v>-0.16173738388149644</v>
      </c>
      <c r="F253" s="191">
        <v>245</v>
      </c>
      <c r="G253" s="251">
        <f t="shared" ca="1" si="11"/>
        <v>-4.0545856842089154E-2</v>
      </c>
      <c r="H253" s="4"/>
    </row>
    <row r="254" spans="2:8" x14ac:dyDescent="0.25">
      <c r="B254" s="190">
        <v>39458</v>
      </c>
      <c r="C254">
        <v>127.53</v>
      </c>
      <c r="D254" s="49">
        <f t="shared" si="10"/>
        <v>-0.17520372526193251</v>
      </c>
      <c r="E254">
        <v>-0.17520372526193251</v>
      </c>
      <c r="F254" s="191">
        <v>246</v>
      </c>
      <c r="G254" s="251">
        <f t="shared" ca="1" si="11"/>
        <v>6.3186535831185553E-2</v>
      </c>
      <c r="H254" s="4"/>
    </row>
    <row r="255" spans="2:8" x14ac:dyDescent="0.25">
      <c r="B255" s="190">
        <v>39457</v>
      </c>
      <c r="C255">
        <v>154.62</v>
      </c>
      <c r="D255" s="49">
        <f t="shared" si="10"/>
        <v>2.4117387466902032</v>
      </c>
      <c r="E255">
        <v>-0.29442365611024907</v>
      </c>
      <c r="F255" s="191">
        <v>247</v>
      </c>
      <c r="G255" s="251">
        <f t="shared" ca="1" si="11"/>
        <v>-9.3843388852268853E-2</v>
      </c>
      <c r="H255" s="4"/>
    </row>
    <row r="256" spans="2:8" x14ac:dyDescent="0.25">
      <c r="B256" s="190">
        <v>38353</v>
      </c>
      <c r="C256">
        <v>45.32</v>
      </c>
      <c r="D256" s="191"/>
      <c r="F256" s="191">
        <v>248</v>
      </c>
      <c r="G256" s="251">
        <f t="shared" ca="1" si="11"/>
        <v>-4.5283622773820517E-2</v>
      </c>
      <c r="H256" s="4"/>
    </row>
  </sheetData>
  <autoFilter ref="B8:E8" xr:uid="{44E1B7B3-0209-407C-A3D7-D9819E08E8A5}">
    <sortState xmlns:xlrd2="http://schemas.microsoft.com/office/spreadsheetml/2017/richdata2" ref="B9:E256">
      <sortCondition descending="1" ref="E8"/>
    </sortState>
  </autoFilter>
  <mergeCells count="2">
    <mergeCell ref="B6:F6"/>
    <mergeCell ref="B1:F5"/>
  </mergeCells>
  <pageMargins left="0.25" right="0.25" top="0.75" bottom="0.75" header="0.3" footer="0.3"/>
  <pageSetup paperSize="9" scale="63" orientation="portrait" r:id="rId1"/>
  <rowBreaks count="1" manualBreakCount="1">
    <brk id="79" max="13" man="1"/>
  </rowBreaks>
  <ignoredErrors>
    <ignoredError sqref="D72" evalErro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98F2-3E06-4793-8012-C2DE95055699}">
  <sheetPr>
    <pageSetUpPr fitToPage="1"/>
  </sheetPr>
  <dimension ref="B1:J117"/>
  <sheetViews>
    <sheetView showGridLines="0" view="pageBreakPreview" topLeftCell="B37" zoomScaleNormal="100" zoomScaleSheetLayoutView="100" workbookViewId="0">
      <selection activeCell="V54" sqref="V54"/>
    </sheetView>
  </sheetViews>
  <sheetFormatPr defaultRowHeight="15" x14ac:dyDescent="0.25"/>
  <cols>
    <col min="1" max="1" width="7.28515625" customWidth="1"/>
    <col min="2" max="2" width="28.28515625" bestFit="1" customWidth="1"/>
    <col min="3" max="3" width="10.140625" bestFit="1" customWidth="1"/>
    <col min="4" max="4" width="11.28515625" bestFit="1" customWidth="1"/>
    <col min="5" max="5" width="10.28515625" bestFit="1" customWidth="1"/>
    <col min="6" max="9" width="11.28515625" bestFit="1" customWidth="1"/>
    <col min="11" max="11" width="9.140625" customWidth="1"/>
    <col min="12" max="12" width="8" customWidth="1"/>
  </cols>
  <sheetData>
    <row r="1" spans="2:10" x14ac:dyDescent="0.25">
      <c r="B1" s="11"/>
      <c r="C1" s="11"/>
      <c r="D1" s="11"/>
      <c r="E1" s="11"/>
      <c r="F1" s="11"/>
      <c r="G1" s="11"/>
      <c r="H1" s="11"/>
      <c r="I1" s="11"/>
      <c r="J1" s="11"/>
    </row>
    <row r="2" spans="2:10" x14ac:dyDescent="0.25">
      <c r="B2" s="11"/>
      <c r="C2" s="11"/>
      <c r="D2" s="11"/>
      <c r="E2" s="11"/>
      <c r="F2" s="11"/>
      <c r="G2" s="11"/>
      <c r="H2" s="11"/>
      <c r="I2" s="11"/>
      <c r="J2" s="11"/>
    </row>
    <row r="3" spans="2:10" x14ac:dyDescent="0.25">
      <c r="B3" s="326" t="str">
        <f>'Data Sheet'!$B$1</f>
        <v>RELIANCE INDUSTRIES LTD</v>
      </c>
      <c r="C3" s="326"/>
      <c r="D3" s="327"/>
      <c r="E3" s="327"/>
      <c r="F3" s="327"/>
      <c r="G3" s="11"/>
      <c r="H3" s="11"/>
      <c r="I3" s="11"/>
      <c r="J3" s="11"/>
    </row>
    <row r="4" spans="2:10" x14ac:dyDescent="0.25">
      <c r="B4" s="327"/>
      <c r="C4" s="327"/>
      <c r="D4" s="327"/>
      <c r="E4" s="327"/>
      <c r="F4" s="327"/>
      <c r="G4" s="11"/>
      <c r="H4" s="11"/>
      <c r="I4" s="11"/>
      <c r="J4" s="11"/>
    </row>
    <row r="5" spans="2:10" ht="15.75" x14ac:dyDescent="0.25">
      <c r="B5" s="214" t="str">
        <f>CONCATENATE("  "," INR "&amp;'[1]Data Sheet'!B13)</f>
        <v xml:space="preserve">   INR </v>
      </c>
      <c r="C5" s="11"/>
      <c r="D5" s="11"/>
      <c r="E5" s="11"/>
      <c r="F5" s="11"/>
      <c r="G5" s="11"/>
      <c r="H5" s="11"/>
      <c r="I5" s="11"/>
      <c r="J5" s="11"/>
    </row>
    <row r="6" spans="2:10" ht="16.5" thickBot="1" x14ac:dyDescent="0.3">
      <c r="B6" s="213" t="s">
        <v>369</v>
      </c>
      <c r="C6" s="11"/>
      <c r="D6" s="11"/>
      <c r="E6" s="11"/>
      <c r="F6" s="11"/>
      <c r="G6" s="11"/>
      <c r="H6" s="11"/>
      <c r="I6" s="11"/>
      <c r="J6" s="11"/>
    </row>
    <row r="7" spans="2:10" ht="21.75" thickTop="1" x14ac:dyDescent="0.35">
      <c r="B7" s="332" t="s">
        <v>355</v>
      </c>
      <c r="C7" s="332"/>
      <c r="D7" s="332"/>
      <c r="E7" s="332"/>
      <c r="F7" s="332"/>
      <c r="G7" s="332"/>
      <c r="H7" s="332"/>
      <c r="I7" s="332"/>
      <c r="J7" s="332"/>
    </row>
    <row r="8" spans="2:10" s="206" customFormat="1" ht="15" customHeight="1" x14ac:dyDescent="0.25">
      <c r="B8" s="328" t="str">
        <f>inputsheet!C3</f>
        <v>Reliance Digital is an Indian consumer electronics retailer. It is a subsidiary of Reliance Retail, a wholly owned subsidiary of Reliance Industries. Reliance Digital opened its first store on 24 April 2007 in Delhi. Currently there are more than 8,600 Reliance Digital and 1,800 My Jio stores in around 800 cities in India in addition to an online presence. The stores are spread across the states of Andhra Pradesh, Delhi, Uttar Pradesh, Gujarat, Karnataka, Kerala, Maharashtra, Tamil Nadu, West Bengal, Telangana, Orissa, Assam, Bihar, and Jharkhand. Reliance Digital Stores are bigger in size than the other format Digital Xpress Mini Stores. It is one of the largest electronics retailers in India with over 5,000 products in its inventory.</v>
      </c>
      <c r="C8" s="328"/>
      <c r="D8" s="328"/>
      <c r="E8" s="328"/>
      <c r="F8" s="328"/>
      <c r="G8" s="328"/>
      <c r="H8" s="328"/>
      <c r="I8" s="328"/>
      <c r="J8" s="328"/>
    </row>
    <row r="9" spans="2:10" s="206" customFormat="1" ht="15" customHeight="1" x14ac:dyDescent="0.25">
      <c r="B9" s="328"/>
      <c r="C9" s="328"/>
      <c r="D9" s="328"/>
      <c r="E9" s="328"/>
      <c r="F9" s="328"/>
      <c r="G9" s="328"/>
      <c r="H9" s="328"/>
      <c r="I9" s="328"/>
      <c r="J9" s="328"/>
    </row>
    <row r="10" spans="2:10" s="206" customFormat="1" ht="15" customHeight="1" x14ac:dyDescent="0.25">
      <c r="B10" s="328"/>
      <c r="C10" s="328"/>
      <c r="D10" s="328"/>
      <c r="E10" s="328"/>
      <c r="F10" s="328"/>
      <c r="G10" s="328"/>
      <c r="H10" s="328"/>
      <c r="I10" s="328"/>
      <c r="J10" s="328"/>
    </row>
    <row r="11" spans="2:10" s="206" customFormat="1" ht="15" customHeight="1" x14ac:dyDescent="0.25">
      <c r="B11" s="328"/>
      <c r="C11" s="328"/>
      <c r="D11" s="328"/>
      <c r="E11" s="328"/>
      <c r="F11" s="328"/>
      <c r="G11" s="328"/>
      <c r="H11" s="328"/>
      <c r="I11" s="328"/>
      <c r="J11" s="328"/>
    </row>
    <row r="12" spans="2:10" s="206" customFormat="1" ht="37.5" customHeight="1" x14ac:dyDescent="0.25">
      <c r="B12" s="328"/>
      <c r="C12" s="328"/>
      <c r="D12" s="328"/>
      <c r="E12" s="328"/>
      <c r="F12" s="328"/>
      <c r="G12" s="328"/>
      <c r="H12" s="328"/>
      <c r="I12" s="328"/>
      <c r="J12" s="328"/>
    </row>
    <row r="13" spans="2:10" s="206" customFormat="1" ht="36" customHeight="1" x14ac:dyDescent="0.25">
      <c r="B13" s="328"/>
      <c r="C13" s="328"/>
      <c r="D13" s="328"/>
      <c r="E13" s="328"/>
      <c r="F13" s="328"/>
      <c r="G13" s="328"/>
      <c r="H13" s="328"/>
      <c r="I13" s="328"/>
      <c r="J13" s="328"/>
    </row>
    <row r="14" spans="2:10" s="206" customFormat="1" ht="20.25" customHeight="1" x14ac:dyDescent="0.25">
      <c r="B14" s="328"/>
      <c r="C14" s="328"/>
      <c r="D14" s="328"/>
      <c r="E14" s="328"/>
      <c r="F14" s="328"/>
      <c r="G14" s="328"/>
      <c r="H14" s="328"/>
      <c r="I14" s="328"/>
      <c r="J14" s="328"/>
    </row>
    <row r="15" spans="2:10" ht="21.75" thickBot="1" x14ac:dyDescent="0.4">
      <c r="B15" s="331" t="s">
        <v>356</v>
      </c>
      <c r="C15" s="331"/>
      <c r="D15" s="331"/>
      <c r="E15" s="331"/>
      <c r="F15" s="331"/>
      <c r="G15" s="331"/>
      <c r="H15" s="331"/>
      <c r="I15" s="331"/>
      <c r="J15" s="331"/>
    </row>
    <row r="16" spans="2:10" ht="15.75" thickTop="1" x14ac:dyDescent="0.25">
      <c r="B16" s="14"/>
      <c r="C16" s="14"/>
      <c r="D16" s="14"/>
      <c r="E16" s="14"/>
      <c r="F16" s="14"/>
      <c r="G16" s="14"/>
      <c r="H16" s="14"/>
      <c r="I16" s="14"/>
      <c r="J16" s="14"/>
    </row>
    <row r="17" spans="2:9" ht="15" customHeight="1" x14ac:dyDescent="0.25">
      <c r="B17" s="329" t="s">
        <v>373</v>
      </c>
      <c r="C17" s="329"/>
      <c r="D17" s="215"/>
      <c r="E17" s="329" t="s">
        <v>372</v>
      </c>
      <c r="F17" s="329"/>
      <c r="G17" s="215"/>
      <c r="H17" s="330" t="s">
        <v>371</v>
      </c>
      <c r="I17" s="330"/>
    </row>
    <row r="26" spans="2:9" ht="30.75" customHeight="1" x14ac:dyDescent="0.25"/>
    <row r="29" spans="2:9" x14ac:dyDescent="0.25">
      <c r="B29" s="329" t="s">
        <v>374</v>
      </c>
      <c r="C29" s="329"/>
      <c r="D29" s="2"/>
      <c r="E29" s="329" t="s">
        <v>375</v>
      </c>
      <c r="F29" s="329"/>
      <c r="G29" s="2"/>
      <c r="H29" s="329" t="s">
        <v>370</v>
      </c>
      <c r="I29" s="329"/>
    </row>
    <row r="38" ht="27" customHeight="1" x14ac:dyDescent="0.25"/>
    <row r="39" ht="18" customHeight="1" x14ac:dyDescent="0.25"/>
    <row r="40" ht="23.25" customHeight="1" x14ac:dyDescent="0.25"/>
    <row r="52" spans="2:10" ht="57" customHeight="1" x14ac:dyDescent="0.25"/>
    <row r="53" spans="2:10" x14ac:dyDescent="0.25">
      <c r="B53" s="11"/>
      <c r="C53" s="11"/>
      <c r="D53" s="11"/>
      <c r="E53" s="11"/>
      <c r="F53" s="11"/>
      <c r="G53" s="11"/>
      <c r="H53" s="11"/>
      <c r="I53" s="11"/>
      <c r="J53" s="11"/>
    </row>
    <row r="54" spans="2:10" ht="40.5" customHeight="1" x14ac:dyDescent="0.25"/>
    <row r="55" spans="2:10" x14ac:dyDescent="0.25">
      <c r="B55" s="11"/>
      <c r="C55" s="11"/>
      <c r="D55" s="11"/>
      <c r="E55" s="11"/>
      <c r="F55" s="11"/>
      <c r="G55" s="11"/>
      <c r="H55" s="11"/>
      <c r="I55" s="11"/>
      <c r="J55" s="11"/>
    </row>
    <row r="59" spans="2:10" ht="15.75" x14ac:dyDescent="0.25">
      <c r="B59" s="325" t="s">
        <v>357</v>
      </c>
      <c r="C59" s="325"/>
      <c r="D59" s="325"/>
      <c r="E59" s="325"/>
      <c r="F59" s="325"/>
      <c r="G59" s="325"/>
      <c r="H59" s="325"/>
      <c r="I59" s="325"/>
      <c r="J59" s="209"/>
    </row>
    <row r="60" spans="2:10" x14ac:dyDescent="0.25">
      <c r="C60" s="202">
        <f>'Historical Financial Statement'!F9</f>
        <v>43190</v>
      </c>
      <c r="D60" s="202">
        <f>'Historical Financial Statement'!G9</f>
        <v>43555</v>
      </c>
      <c r="E60" s="202">
        <f>'Historical Financial Statement'!H9</f>
        <v>43921</v>
      </c>
      <c r="F60" s="202">
        <f>'Historical Financial Statement'!I9</f>
        <v>44286</v>
      </c>
      <c r="G60" s="202">
        <f>'Historical Financial Statement'!J9</f>
        <v>44651</v>
      </c>
      <c r="H60" s="202">
        <f>'Historical Financial Statement'!K9</f>
        <v>45016</v>
      </c>
      <c r="I60" s="202">
        <f>'Historical Financial Statement'!L9</f>
        <v>45382</v>
      </c>
      <c r="J60" s="202"/>
    </row>
    <row r="61" spans="2:10" x14ac:dyDescent="0.25">
      <c r="B61" t="s">
        <v>358</v>
      </c>
      <c r="C61" s="139">
        <f>'Historical Financial Statement'!F39</f>
        <v>18514</v>
      </c>
      <c r="D61" s="139">
        <f>'Historical Financial Statement'!G39</f>
        <v>34559</v>
      </c>
      <c r="E61" s="139">
        <f>'Historical Financial Statement'!H39</f>
        <v>35289</v>
      </c>
      <c r="F61" s="139">
        <f>'Historical Financial Statement'!I39</f>
        <v>27996</v>
      </c>
      <c r="G61" s="139">
        <f>'Historical Financial Statement'!J39</f>
        <v>24089</v>
      </c>
      <c r="H61" s="139">
        <f>'Historical Financial Statement'!K39</f>
        <v>26414</v>
      </c>
      <c r="I61" s="139">
        <f>'Historical Financial Statement'!L39</f>
        <v>78754</v>
      </c>
      <c r="J61" s="139"/>
    </row>
    <row r="62" spans="2:10" x14ac:dyDescent="0.25">
      <c r="B62" t="s">
        <v>359</v>
      </c>
      <c r="C62" s="139">
        <f>(('Data Sheet'!E57+'Data Sheet'!E58)+('Data Sheet'!D57+'Data Sheet'!D58))/2</f>
        <v>340309</v>
      </c>
      <c r="D62" s="139">
        <f>(('Data Sheet'!F57+'Data Sheet'!F58)+('Data Sheet'!E57+'Data Sheet'!E58))/2</f>
        <v>418139</v>
      </c>
      <c r="E62" s="139">
        <f>(('Data Sheet'!G57+'Data Sheet'!G58)+('Data Sheet'!F57+'Data Sheet'!F58))/2</f>
        <v>574669</v>
      </c>
      <c r="F62" s="139">
        <f>(('Data Sheet'!H57+'Data Sheet'!H58)+('Data Sheet'!G57+'Data Sheet'!G58))/2</f>
        <v>739828.5</v>
      </c>
      <c r="G62" s="139">
        <f>(('Data Sheet'!I57+'Data Sheet'!I58)+('Data Sheet'!H57+'Data Sheet'!H58))/2</f>
        <v>747678.5</v>
      </c>
      <c r="H62" s="139">
        <f>(('Data Sheet'!J57+'Data Sheet'!J58)+('Data Sheet'!I57+'Data Sheet'!I58))/2</f>
        <v>754676.5</v>
      </c>
      <c r="I62" s="139">
        <f>(('Data Sheet'!K57+'Data Sheet'!K58)+('Data Sheet'!J57+'Data Sheet'!J58))/2</f>
        <v>818340.5</v>
      </c>
      <c r="J62" s="139"/>
    </row>
    <row r="63" spans="2:10" x14ac:dyDescent="0.25">
      <c r="B63" s="121" t="s">
        <v>32</v>
      </c>
      <c r="C63" s="210">
        <f t="shared" ref="C63:H63" si="0">C61/C62</f>
        <v>5.4403497997408234E-2</v>
      </c>
      <c r="D63" s="210">
        <f t="shared" si="0"/>
        <v>8.2649549551704102E-2</v>
      </c>
      <c r="E63" s="210">
        <f t="shared" si="0"/>
        <v>6.1407523287318438E-2</v>
      </c>
      <c r="F63" s="210">
        <f t="shared" si="0"/>
        <v>3.7841202386769364E-2</v>
      </c>
      <c r="G63" s="210">
        <f t="shared" si="0"/>
        <v>3.2218393333498289E-2</v>
      </c>
      <c r="H63" s="210">
        <f t="shared" si="0"/>
        <v>3.5000427335421205E-2</v>
      </c>
      <c r="I63" s="210">
        <f>I61/I62</f>
        <v>9.6236224407810683E-2</v>
      </c>
      <c r="J63" s="210"/>
    </row>
    <row r="65" spans="2:10" ht="15.75" x14ac:dyDescent="0.25">
      <c r="B65" s="325" t="s">
        <v>360</v>
      </c>
      <c r="C65" s="325"/>
      <c r="D65" s="325"/>
      <c r="E65" s="325"/>
      <c r="F65" s="325"/>
      <c r="G65" s="325"/>
      <c r="H65" s="325"/>
      <c r="I65" s="325"/>
      <c r="J65" s="209"/>
    </row>
    <row r="66" spans="2:10" x14ac:dyDescent="0.25">
      <c r="C66" s="202">
        <f>C60</f>
        <v>43190</v>
      </c>
      <c r="D66" s="202">
        <f t="shared" ref="D66:I66" si="1">D60</f>
        <v>43555</v>
      </c>
      <c r="E66" s="202">
        <f t="shared" si="1"/>
        <v>43921</v>
      </c>
      <c r="F66" s="202">
        <f t="shared" si="1"/>
        <v>44286</v>
      </c>
      <c r="G66" s="202">
        <f t="shared" si="1"/>
        <v>44651</v>
      </c>
      <c r="H66" s="202">
        <f t="shared" si="1"/>
        <v>45016</v>
      </c>
      <c r="I66" s="202">
        <f t="shared" si="1"/>
        <v>45382</v>
      </c>
      <c r="J66" s="202"/>
    </row>
    <row r="67" spans="2:10" x14ac:dyDescent="0.25">
      <c r="B67" t="str">
        <f>B61</f>
        <v>Net Profit</v>
      </c>
      <c r="C67" s="139">
        <f t="shared" ref="C67:I67" si="2">C61</f>
        <v>18514</v>
      </c>
      <c r="D67" s="139">
        <f t="shared" si="2"/>
        <v>34559</v>
      </c>
      <c r="E67" s="139">
        <f t="shared" si="2"/>
        <v>35289</v>
      </c>
      <c r="F67" s="139">
        <f t="shared" si="2"/>
        <v>27996</v>
      </c>
      <c r="G67" s="139">
        <f t="shared" si="2"/>
        <v>24089</v>
      </c>
      <c r="H67" s="139">
        <f t="shared" si="2"/>
        <v>26414</v>
      </c>
      <c r="I67" s="139">
        <f t="shared" si="2"/>
        <v>78754</v>
      </c>
      <c r="J67" s="139"/>
    </row>
    <row r="68" spans="2:10" x14ac:dyDescent="0.25">
      <c r="B68" t="s">
        <v>305</v>
      </c>
      <c r="C68" s="139">
        <f>'Historical Financial Statement'!F12</f>
        <v>390823</v>
      </c>
      <c r="D68" s="139">
        <f>'Historical Financial Statement'!G12</f>
        <v>568337</v>
      </c>
      <c r="E68" s="139">
        <f>'Historical Financial Statement'!H12</f>
        <v>596679</v>
      </c>
      <c r="F68" s="139">
        <f>'Historical Financial Statement'!I12</f>
        <v>466307</v>
      </c>
      <c r="G68" s="139">
        <f>'Historical Financial Statement'!J12</f>
        <v>694673</v>
      </c>
      <c r="H68" s="139">
        <f>'Historical Financial Statement'!K12</f>
        <v>876396</v>
      </c>
      <c r="I68" s="139">
        <f>'Historical Financial Statement'!L12</f>
        <v>899041</v>
      </c>
      <c r="J68" s="139"/>
    </row>
    <row r="69" spans="2:10" x14ac:dyDescent="0.25">
      <c r="B69" s="121" t="s">
        <v>361</v>
      </c>
      <c r="C69" s="210">
        <f t="shared" ref="C69:H69" si="3">C67/C68</f>
        <v>4.7371828167738335E-2</v>
      </c>
      <c r="D69" s="210">
        <f t="shared" si="3"/>
        <v>6.0807232328706384E-2</v>
      </c>
      <c r="E69" s="210">
        <f t="shared" si="3"/>
        <v>5.9142352923431195E-2</v>
      </c>
      <c r="F69" s="210">
        <f t="shared" si="3"/>
        <v>6.0037700484873696E-2</v>
      </c>
      <c r="G69" s="210">
        <f t="shared" si="3"/>
        <v>3.4676747188965171E-2</v>
      </c>
      <c r="H69" s="210">
        <f t="shared" si="3"/>
        <v>3.0139343401841177E-2</v>
      </c>
      <c r="I69" s="210">
        <f>I67/I68</f>
        <v>8.7597784750639854E-2</v>
      </c>
      <c r="J69" s="210"/>
    </row>
    <row r="71" spans="2:10" x14ac:dyDescent="0.25">
      <c r="B71" t="s">
        <v>305</v>
      </c>
      <c r="C71" s="139">
        <f>C68</f>
        <v>390823</v>
      </c>
      <c r="D71" s="139">
        <f t="shared" ref="D71:I71" si="4">D68</f>
        <v>568337</v>
      </c>
      <c r="E71" s="139">
        <f t="shared" si="4"/>
        <v>596679</v>
      </c>
      <c r="F71" s="139">
        <f t="shared" si="4"/>
        <v>466307</v>
      </c>
      <c r="G71" s="139">
        <f t="shared" si="4"/>
        <v>694673</v>
      </c>
      <c r="H71" s="139">
        <f t="shared" si="4"/>
        <v>876396</v>
      </c>
      <c r="I71" s="139">
        <f t="shared" si="4"/>
        <v>899041</v>
      </c>
      <c r="J71" s="139"/>
    </row>
    <row r="72" spans="2:10" x14ac:dyDescent="0.25">
      <c r="B72" t="s">
        <v>362</v>
      </c>
      <c r="C72" s="139">
        <f>('Historical Financial Statement'!F63+'Historical Financial Statement'!E63)/2</f>
        <v>687638.5</v>
      </c>
      <c r="D72" s="139">
        <f>('Historical Financial Statement'!G63+'Historical Financial Statement'!F63)/2</f>
        <v>808762.5</v>
      </c>
      <c r="E72" s="139">
        <f>('Historical Financial Statement'!H63+'Historical Financial Statement'!G63)/2</f>
        <v>963717.5</v>
      </c>
      <c r="F72" s="139">
        <f>('Historical Financial Statement'!I63+'Historical Financial Statement'!H63)/2</f>
        <v>1120259</v>
      </c>
      <c r="G72" s="139">
        <f>('Historical Financial Statement'!J63+'Historical Financial Statement'!I63)/2</f>
        <v>1266504</v>
      </c>
      <c r="H72" s="139">
        <f>('Historical Financial Statement'!K63+'Historical Financial Statement'!J63)/2</f>
        <v>1349894</v>
      </c>
      <c r="I72" s="139">
        <f>('Historical Financial Statement'!L63+'Historical Financial Statement'!K63)/2</f>
        <v>1421093.5</v>
      </c>
      <c r="J72" s="139"/>
    </row>
    <row r="73" spans="2:10" x14ac:dyDescent="0.25">
      <c r="B73" s="121" t="s">
        <v>363</v>
      </c>
      <c r="C73" s="211">
        <f t="shared" ref="C73:H73" si="5">C71/C72</f>
        <v>0.56835532041908643</v>
      </c>
      <c r="D73" s="211">
        <f t="shared" si="5"/>
        <v>0.70272422373688193</v>
      </c>
      <c r="E73" s="211">
        <f t="shared" si="5"/>
        <v>0.61914305800195601</v>
      </c>
      <c r="F73" s="211">
        <f t="shared" si="5"/>
        <v>0.4162492780687323</v>
      </c>
      <c r="G73" s="211">
        <f t="shared" si="5"/>
        <v>0.54849649112833443</v>
      </c>
      <c r="H73" s="211">
        <f t="shared" si="5"/>
        <v>0.64923319905118471</v>
      </c>
      <c r="I73" s="211">
        <f>I71/I72</f>
        <v>0.63264028721544363</v>
      </c>
      <c r="J73" s="211"/>
    </row>
    <row r="75" spans="2:10" x14ac:dyDescent="0.25">
      <c r="B75" t="str">
        <f>B72</f>
        <v>Average Total Asset</v>
      </c>
      <c r="C75" s="139">
        <f>C72</f>
        <v>687638.5</v>
      </c>
      <c r="D75" s="139">
        <f t="shared" ref="D75:I75" si="6">D72</f>
        <v>808762.5</v>
      </c>
      <c r="E75" s="139">
        <f t="shared" si="6"/>
        <v>963717.5</v>
      </c>
      <c r="F75" s="139">
        <f t="shared" si="6"/>
        <v>1120259</v>
      </c>
      <c r="G75" s="139">
        <f t="shared" si="6"/>
        <v>1266504</v>
      </c>
      <c r="H75" s="139">
        <f t="shared" si="6"/>
        <v>1349894</v>
      </c>
      <c r="I75" s="139">
        <f t="shared" si="6"/>
        <v>1421093.5</v>
      </c>
      <c r="J75" s="139"/>
    </row>
    <row r="76" spans="2:10" x14ac:dyDescent="0.25">
      <c r="B76" t="str">
        <f>B62</f>
        <v>Average Shareholder Equity</v>
      </c>
      <c r="C76" s="139">
        <f>C62</f>
        <v>340309</v>
      </c>
      <c r="D76" s="139">
        <f t="shared" ref="D76:I76" si="7">D62</f>
        <v>418139</v>
      </c>
      <c r="E76" s="139">
        <f t="shared" si="7"/>
        <v>574669</v>
      </c>
      <c r="F76" s="139">
        <f t="shared" si="7"/>
        <v>739828.5</v>
      </c>
      <c r="G76" s="139">
        <f t="shared" si="7"/>
        <v>747678.5</v>
      </c>
      <c r="H76" s="139">
        <f t="shared" si="7"/>
        <v>754676.5</v>
      </c>
      <c r="I76" s="139">
        <f t="shared" si="7"/>
        <v>818340.5</v>
      </c>
      <c r="J76" s="139"/>
    </row>
    <row r="77" spans="2:10" x14ac:dyDescent="0.25">
      <c r="B77" s="121" t="s">
        <v>364</v>
      </c>
      <c r="C77" s="212">
        <f t="shared" ref="C77:H77" si="8">C75/C76</f>
        <v>2.0206297805817655</v>
      </c>
      <c r="D77" s="212">
        <f t="shared" si="8"/>
        <v>1.9341953273911308</v>
      </c>
      <c r="E77" s="212">
        <f t="shared" si="8"/>
        <v>1.6769958010611326</v>
      </c>
      <c r="F77" s="212">
        <f t="shared" si="8"/>
        <v>1.514214442941844</v>
      </c>
      <c r="G77" s="212">
        <f t="shared" si="8"/>
        <v>1.6939152322823245</v>
      </c>
      <c r="H77" s="212">
        <f t="shared" si="8"/>
        <v>1.7887054916908105</v>
      </c>
      <c r="I77" s="212">
        <f>I75/I76</f>
        <v>1.7365552603103476</v>
      </c>
      <c r="J77" s="212"/>
    </row>
    <row r="79" spans="2:10" x14ac:dyDescent="0.25">
      <c r="B79" s="121" t="s">
        <v>365</v>
      </c>
      <c r="C79" s="210">
        <f t="shared" ref="C79:H79" si="9">C77*C73*C69</f>
        <v>5.4403497997408228E-2</v>
      </c>
      <c r="D79" s="210">
        <f t="shared" si="9"/>
        <v>8.2649549551704102E-2</v>
      </c>
      <c r="E79" s="210">
        <f t="shared" si="9"/>
        <v>6.1407523287318445E-2</v>
      </c>
      <c r="F79" s="210">
        <f t="shared" si="9"/>
        <v>3.7841202386769364E-2</v>
      </c>
      <c r="G79" s="210">
        <f t="shared" si="9"/>
        <v>3.2218393333498296E-2</v>
      </c>
      <c r="H79" s="210">
        <f t="shared" si="9"/>
        <v>3.5000427335421198E-2</v>
      </c>
      <c r="I79" s="210">
        <f>I77*I73*I69</f>
        <v>9.6236224407810697E-2</v>
      </c>
      <c r="J79" s="210"/>
    </row>
    <row r="81" spans="2:10" ht="15.75" x14ac:dyDescent="0.25">
      <c r="B81" s="325" t="s">
        <v>366</v>
      </c>
      <c r="C81" s="325"/>
      <c r="D81" s="325"/>
      <c r="E81" s="325"/>
      <c r="F81" s="325"/>
      <c r="G81" s="325"/>
      <c r="H81" s="325"/>
      <c r="I81" s="325"/>
      <c r="J81" s="209"/>
    </row>
    <row r="82" spans="2:10" x14ac:dyDescent="0.25">
      <c r="C82" s="202">
        <f t="shared" ref="C82:H83" si="10">C66</f>
        <v>43190</v>
      </c>
      <c r="D82" s="202">
        <f t="shared" si="10"/>
        <v>43555</v>
      </c>
      <c r="E82" s="202">
        <f t="shared" si="10"/>
        <v>43921</v>
      </c>
      <c r="F82" s="202">
        <f t="shared" si="10"/>
        <v>44286</v>
      </c>
      <c r="G82" s="202">
        <f t="shared" si="10"/>
        <v>44651</v>
      </c>
      <c r="H82" s="202">
        <f t="shared" si="10"/>
        <v>45016</v>
      </c>
      <c r="I82" s="202">
        <f>I66</f>
        <v>45382</v>
      </c>
      <c r="J82" s="202"/>
    </row>
    <row r="83" spans="2:10" x14ac:dyDescent="0.25">
      <c r="B83" t="s">
        <v>358</v>
      </c>
      <c r="C83" s="139">
        <f t="shared" si="10"/>
        <v>18514</v>
      </c>
      <c r="D83" s="139">
        <f t="shared" si="10"/>
        <v>34559</v>
      </c>
      <c r="E83" s="139">
        <f t="shared" si="10"/>
        <v>35289</v>
      </c>
      <c r="F83" s="139">
        <f t="shared" si="10"/>
        <v>27996</v>
      </c>
      <c r="G83" s="139">
        <f t="shared" si="10"/>
        <v>24089</v>
      </c>
      <c r="H83" s="139">
        <f t="shared" si="10"/>
        <v>26414</v>
      </c>
      <c r="I83" s="139">
        <f>I67</f>
        <v>78754</v>
      </c>
      <c r="J83" s="139"/>
    </row>
    <row r="84" spans="2:10" x14ac:dyDescent="0.25">
      <c r="B84" t="str">
        <f>B75</f>
        <v>Average Total Asset</v>
      </c>
      <c r="C84" s="139">
        <f t="shared" ref="C84:H84" si="11">C72</f>
        <v>687638.5</v>
      </c>
      <c r="D84" s="139">
        <f t="shared" si="11"/>
        <v>808762.5</v>
      </c>
      <c r="E84" s="139">
        <f t="shared" si="11"/>
        <v>963717.5</v>
      </c>
      <c r="F84" s="139">
        <f t="shared" si="11"/>
        <v>1120259</v>
      </c>
      <c r="G84" s="139">
        <f t="shared" si="11"/>
        <v>1266504</v>
      </c>
      <c r="H84" s="139">
        <f t="shared" si="11"/>
        <v>1349894</v>
      </c>
      <c r="I84" s="139">
        <f>I72</f>
        <v>1421093.5</v>
      </c>
      <c r="J84" s="139"/>
    </row>
    <row r="85" spans="2:10" x14ac:dyDescent="0.25">
      <c r="B85" s="203" t="s">
        <v>366</v>
      </c>
      <c r="C85" s="204">
        <f>C83/C84</f>
        <v>2.6924030577112828E-2</v>
      </c>
      <c r="D85" s="204">
        <f t="shared" ref="D85:I85" si="12">D83/D84</f>
        <v>4.2730715135778426E-2</v>
      </c>
      <c r="E85" s="204">
        <f t="shared" si="12"/>
        <v>3.6617577246444107E-2</v>
      </c>
      <c r="F85" s="204">
        <f t="shared" si="12"/>
        <v>2.4990649483735458E-2</v>
      </c>
      <c r="G85" s="204">
        <f t="shared" si="12"/>
        <v>1.9020074156891727E-2</v>
      </c>
      <c r="H85" s="204">
        <f t="shared" si="12"/>
        <v>1.9567462334079563E-2</v>
      </c>
      <c r="I85" s="204">
        <f t="shared" si="12"/>
        <v>5.5417887704081396E-2</v>
      </c>
      <c r="J85" s="204"/>
    </row>
    <row r="87" spans="2:10" ht="15.75" x14ac:dyDescent="0.25">
      <c r="B87" s="325" t="s">
        <v>367</v>
      </c>
      <c r="C87" s="325"/>
      <c r="D87" s="325"/>
      <c r="E87" s="325"/>
      <c r="F87" s="325"/>
      <c r="G87" s="325"/>
      <c r="H87" s="325"/>
      <c r="I87" s="325"/>
      <c r="J87" s="209"/>
    </row>
    <row r="88" spans="2:10" x14ac:dyDescent="0.25">
      <c r="C88" s="202">
        <f>C82</f>
        <v>43190</v>
      </c>
      <c r="D88" s="202">
        <f t="shared" ref="D88:I88" si="13">D82</f>
        <v>43555</v>
      </c>
      <c r="E88" s="202">
        <f t="shared" si="13"/>
        <v>43921</v>
      </c>
      <c r="F88" s="202">
        <f t="shared" si="13"/>
        <v>44286</v>
      </c>
      <c r="G88" s="202">
        <f t="shared" si="13"/>
        <v>44651</v>
      </c>
      <c r="H88" s="202">
        <f t="shared" si="13"/>
        <v>45016</v>
      </c>
      <c r="I88" s="202">
        <f t="shared" si="13"/>
        <v>45382</v>
      </c>
      <c r="J88" s="202"/>
    </row>
    <row r="89" spans="2:10" x14ac:dyDescent="0.25">
      <c r="B89" t="str">
        <f>B83</f>
        <v>Net Profit</v>
      </c>
      <c r="C89" s="139">
        <f t="shared" ref="C89:H89" si="14">C83</f>
        <v>18514</v>
      </c>
      <c r="D89" s="139">
        <f t="shared" si="14"/>
        <v>34559</v>
      </c>
      <c r="E89" s="139">
        <f t="shared" si="14"/>
        <v>35289</v>
      </c>
      <c r="F89" s="139">
        <f t="shared" si="14"/>
        <v>27996</v>
      </c>
      <c r="G89" s="139">
        <f t="shared" si="14"/>
        <v>24089</v>
      </c>
      <c r="H89" s="139">
        <f t="shared" si="14"/>
        <v>26414</v>
      </c>
      <c r="I89" s="139">
        <f>I83</f>
        <v>78754</v>
      </c>
      <c r="J89" s="139"/>
    </row>
    <row r="90" spans="2:10" x14ac:dyDescent="0.25">
      <c r="B90" t="s">
        <v>305</v>
      </c>
      <c r="C90" s="139">
        <f t="shared" ref="C90:H90" si="15">C71</f>
        <v>390823</v>
      </c>
      <c r="D90" s="139">
        <f t="shared" si="15"/>
        <v>568337</v>
      </c>
      <c r="E90" s="139">
        <f t="shared" si="15"/>
        <v>596679</v>
      </c>
      <c r="F90" s="139">
        <f t="shared" si="15"/>
        <v>466307</v>
      </c>
      <c r="G90" s="139">
        <f t="shared" si="15"/>
        <v>694673</v>
      </c>
      <c r="H90" s="139">
        <f t="shared" si="15"/>
        <v>876396</v>
      </c>
      <c r="I90" s="139">
        <f>I71</f>
        <v>899041</v>
      </c>
      <c r="J90" s="139"/>
    </row>
    <row r="91" spans="2:10" x14ac:dyDescent="0.25">
      <c r="B91" s="203" t="s">
        <v>361</v>
      </c>
      <c r="C91" s="204">
        <f t="shared" ref="C91:H91" si="16">C89/C90</f>
        <v>4.7371828167738335E-2</v>
      </c>
      <c r="D91" s="204">
        <f t="shared" si="16"/>
        <v>6.0807232328706384E-2</v>
      </c>
      <c r="E91" s="204">
        <f t="shared" si="16"/>
        <v>5.9142352923431195E-2</v>
      </c>
      <c r="F91" s="204">
        <f t="shared" si="16"/>
        <v>6.0037700484873696E-2</v>
      </c>
      <c r="G91" s="204">
        <f t="shared" si="16"/>
        <v>3.4676747188965171E-2</v>
      </c>
      <c r="H91" s="204">
        <f t="shared" si="16"/>
        <v>3.0139343401841177E-2</v>
      </c>
      <c r="I91" s="204">
        <f>I89/I90</f>
        <v>8.7597784750639854E-2</v>
      </c>
      <c r="J91" s="204"/>
    </row>
    <row r="93" spans="2:10" x14ac:dyDescent="0.25">
      <c r="B93" t="s">
        <v>305</v>
      </c>
      <c r="C93" s="139">
        <f t="shared" ref="C93:H93" si="17">C90</f>
        <v>390823</v>
      </c>
      <c r="D93" s="139">
        <f t="shared" si="17"/>
        <v>568337</v>
      </c>
      <c r="E93" s="139">
        <f t="shared" si="17"/>
        <v>596679</v>
      </c>
      <c r="F93" s="139">
        <f t="shared" si="17"/>
        <v>466307</v>
      </c>
      <c r="G93" s="139">
        <f t="shared" si="17"/>
        <v>694673</v>
      </c>
      <c r="H93" s="139">
        <f t="shared" si="17"/>
        <v>876396</v>
      </c>
      <c r="I93" s="139">
        <f>I90</f>
        <v>899041</v>
      </c>
      <c r="J93" s="139"/>
    </row>
    <row r="94" spans="2:10" x14ac:dyDescent="0.25">
      <c r="B94" t="s">
        <v>362</v>
      </c>
      <c r="C94" s="139">
        <f t="shared" ref="C94:H94" si="18">C84</f>
        <v>687638.5</v>
      </c>
      <c r="D94" s="139">
        <f t="shared" si="18"/>
        <v>808762.5</v>
      </c>
      <c r="E94" s="139">
        <f t="shared" si="18"/>
        <v>963717.5</v>
      </c>
      <c r="F94" s="139">
        <f t="shared" si="18"/>
        <v>1120259</v>
      </c>
      <c r="G94" s="139">
        <f t="shared" si="18"/>
        <v>1266504</v>
      </c>
      <c r="H94" s="139">
        <f t="shared" si="18"/>
        <v>1349894</v>
      </c>
      <c r="I94" s="139">
        <f>I84</f>
        <v>1421093.5</v>
      </c>
      <c r="J94" s="139"/>
    </row>
    <row r="95" spans="2:10" x14ac:dyDescent="0.25">
      <c r="B95" s="203" t="s">
        <v>363</v>
      </c>
      <c r="C95" s="205">
        <f t="shared" ref="C95:H95" si="19">C93/C94</f>
        <v>0.56835532041908643</v>
      </c>
      <c r="D95" s="205">
        <f t="shared" si="19"/>
        <v>0.70272422373688193</v>
      </c>
      <c r="E95" s="205">
        <f t="shared" si="19"/>
        <v>0.61914305800195601</v>
      </c>
      <c r="F95" s="205">
        <f t="shared" si="19"/>
        <v>0.4162492780687323</v>
      </c>
      <c r="G95" s="205">
        <f t="shared" si="19"/>
        <v>0.54849649112833443</v>
      </c>
      <c r="H95" s="205">
        <f t="shared" si="19"/>
        <v>0.64923319905118471</v>
      </c>
      <c r="I95" s="205">
        <f>I93/I94</f>
        <v>0.63264028721544363</v>
      </c>
      <c r="J95" s="205"/>
    </row>
    <row r="97" spans="2:10" x14ac:dyDescent="0.25">
      <c r="B97" s="203" t="s">
        <v>368</v>
      </c>
      <c r="C97" s="204">
        <f>C95*C91</f>
        <v>2.6924030577112824E-2</v>
      </c>
      <c r="D97" s="204">
        <f t="shared" ref="D97:I97" si="20">D95*D91</f>
        <v>4.2730715135778426E-2</v>
      </c>
      <c r="E97" s="204">
        <f t="shared" si="20"/>
        <v>3.6617577246444113E-2</v>
      </c>
      <c r="F97" s="204">
        <f t="shared" si="20"/>
        <v>2.4990649483735455E-2</v>
      </c>
      <c r="G97" s="204">
        <f t="shared" si="20"/>
        <v>1.902007415689173E-2</v>
      </c>
      <c r="H97" s="204">
        <f t="shared" si="20"/>
        <v>1.9567462334079563E-2</v>
      </c>
      <c r="I97" s="204">
        <f t="shared" si="20"/>
        <v>5.5417887704081403E-2</v>
      </c>
      <c r="J97" s="204"/>
    </row>
    <row r="112" spans="2:10" x14ac:dyDescent="0.25">
      <c r="B112" s="11"/>
      <c r="C112" s="11"/>
      <c r="D112" s="11"/>
      <c r="E112" s="11"/>
      <c r="F112" s="11"/>
      <c r="G112" s="11"/>
      <c r="H112" s="11"/>
      <c r="I112" s="11"/>
      <c r="J112" s="11"/>
    </row>
    <row r="116" spans="2:10" x14ac:dyDescent="0.25">
      <c r="B116" s="272" t="s">
        <v>731</v>
      </c>
      <c r="J116" s="273" t="s">
        <v>734</v>
      </c>
    </row>
    <row r="117" spans="2:10" x14ac:dyDescent="0.25">
      <c r="B117" s="272" t="s">
        <v>733</v>
      </c>
      <c r="J117" s="273" t="s">
        <v>735</v>
      </c>
    </row>
  </sheetData>
  <mergeCells count="14">
    <mergeCell ref="B81:I81"/>
    <mergeCell ref="B87:I87"/>
    <mergeCell ref="B3:F4"/>
    <mergeCell ref="B8:J14"/>
    <mergeCell ref="B17:C17"/>
    <mergeCell ref="E17:F17"/>
    <mergeCell ref="H17:I17"/>
    <mergeCell ref="B29:C29"/>
    <mergeCell ref="E29:F29"/>
    <mergeCell ref="H29:I29"/>
    <mergeCell ref="B59:I59"/>
    <mergeCell ref="B65:I65"/>
    <mergeCell ref="B15:J15"/>
    <mergeCell ref="B7:J7"/>
  </mergeCells>
  <pageMargins left="0.25" right="0.25" top="0.75" bottom="0.75" header="0.3" footer="0.3"/>
  <pageSetup paperSize="9" scale="71" fitToHeight="0" orientation="portrait" r:id="rId1"/>
  <rowBreaks count="1" manualBreakCount="1">
    <brk id="53" max="11"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74AAD-0DAC-41FC-8E48-E37385DA6686}">
  <sheetPr>
    <pageSetUpPr fitToPage="1"/>
  </sheetPr>
  <dimension ref="B1:J115"/>
  <sheetViews>
    <sheetView showGridLines="0" tabSelected="1" view="pageBreakPreview" zoomScaleNormal="100" zoomScaleSheetLayoutView="100" workbookViewId="0">
      <selection activeCell="Q9" sqref="Q9"/>
    </sheetView>
  </sheetViews>
  <sheetFormatPr defaultRowHeight="15" x14ac:dyDescent="0.25"/>
  <cols>
    <col min="1" max="1" width="2.28515625" customWidth="1"/>
    <col min="2" max="2" width="41.28515625" bestFit="1" customWidth="1"/>
    <col min="3" max="9" width="13.42578125" bestFit="1" customWidth="1"/>
    <col min="11" max="11" width="2.140625" customWidth="1"/>
    <col min="12" max="12" width="3.5703125" customWidth="1"/>
  </cols>
  <sheetData>
    <row r="1" spans="2:10" x14ac:dyDescent="0.25">
      <c r="B1" s="333" t="str">
        <f>'Data Sheet'!$B$1</f>
        <v>RELIANCE INDUSTRIES LTD</v>
      </c>
      <c r="C1" s="333"/>
      <c r="D1" s="333"/>
      <c r="E1" s="333"/>
      <c r="F1" s="333"/>
      <c r="G1" s="11"/>
      <c r="H1" s="11"/>
      <c r="I1" s="11"/>
      <c r="J1" s="11"/>
    </row>
    <row r="2" spans="2:10" x14ac:dyDescent="0.25">
      <c r="B2" s="333"/>
      <c r="C2" s="333"/>
      <c r="D2" s="333"/>
      <c r="E2" s="333"/>
      <c r="F2" s="333"/>
      <c r="G2" s="11"/>
      <c r="H2" s="11"/>
      <c r="I2" s="11"/>
      <c r="J2" s="11"/>
    </row>
    <row r="3" spans="2:10" x14ac:dyDescent="0.25">
      <c r="B3" s="333"/>
      <c r="C3" s="333"/>
      <c r="D3" s="333"/>
      <c r="E3" s="333"/>
      <c r="F3" s="333"/>
      <c r="G3" s="11"/>
      <c r="H3" s="11"/>
      <c r="I3" s="11"/>
      <c r="J3" s="11"/>
    </row>
    <row r="4" spans="2:10" x14ac:dyDescent="0.25">
      <c r="B4" s="333"/>
      <c r="C4" s="333"/>
      <c r="D4" s="333"/>
      <c r="E4" s="333"/>
      <c r="F4" s="333"/>
      <c r="G4" s="11"/>
      <c r="H4" s="11"/>
      <c r="I4" s="11"/>
      <c r="J4" s="11"/>
    </row>
    <row r="5" spans="2:10" x14ac:dyDescent="0.25">
      <c r="B5" s="333"/>
      <c r="C5" s="333"/>
      <c r="D5" s="333"/>
      <c r="E5" s="333"/>
      <c r="F5" s="333"/>
      <c r="G5" s="11"/>
      <c r="H5" s="11"/>
      <c r="I5" s="11"/>
      <c r="J5" s="11"/>
    </row>
    <row r="6" spans="2:10" ht="15" customHeight="1" x14ac:dyDescent="0.25">
      <c r="B6" s="333"/>
      <c r="C6" s="333"/>
      <c r="D6" s="333"/>
      <c r="E6" s="333"/>
      <c r="F6" s="333"/>
      <c r="G6" s="11"/>
      <c r="H6" s="11"/>
      <c r="I6" s="11"/>
      <c r="J6" s="11"/>
    </row>
    <row r="7" spans="2:10" ht="15" customHeight="1" x14ac:dyDescent="0.25">
      <c r="B7" s="333"/>
      <c r="C7" s="333"/>
      <c r="D7" s="333"/>
      <c r="E7" s="333"/>
      <c r="F7" s="333"/>
      <c r="G7" s="11"/>
      <c r="H7" s="11"/>
      <c r="I7" s="11"/>
      <c r="J7" s="11"/>
    </row>
    <row r="8" spans="2:10" ht="15.75" x14ac:dyDescent="0.25">
      <c r="B8" s="214" t="str">
        <f>CONCATENATE("  "," INR "&amp;'[1]Data Sheet'!B13)</f>
        <v xml:space="preserve">   INR </v>
      </c>
      <c r="C8" s="11"/>
      <c r="D8" s="11"/>
      <c r="E8" s="11"/>
      <c r="F8" s="11"/>
      <c r="G8" s="11"/>
      <c r="H8" s="11"/>
      <c r="I8" s="11"/>
      <c r="J8" s="11"/>
    </row>
    <row r="9" spans="2:10" ht="16.5" thickBot="1" x14ac:dyDescent="0.3">
      <c r="B9" s="213" t="s">
        <v>369</v>
      </c>
      <c r="C9" s="11"/>
      <c r="D9" s="11"/>
      <c r="E9" s="11"/>
      <c r="F9" s="11"/>
      <c r="G9" s="11"/>
      <c r="H9" s="11"/>
      <c r="I9" s="11"/>
      <c r="J9" s="11"/>
    </row>
    <row r="10" spans="2:10" ht="21.75" thickTop="1" x14ac:dyDescent="0.35">
      <c r="B10" s="332" t="s">
        <v>355</v>
      </c>
      <c r="C10" s="332"/>
      <c r="D10" s="332"/>
      <c r="E10" s="332"/>
      <c r="F10" s="332"/>
      <c r="G10" s="332"/>
      <c r="H10" s="332"/>
      <c r="I10" s="332"/>
      <c r="J10" s="332"/>
    </row>
    <row r="11" spans="2:10" s="206" customFormat="1" ht="15" customHeight="1" x14ac:dyDescent="0.25">
      <c r="B11" s="328" t="str">
        <f>inputsheet!C3</f>
        <v>Reliance Digital is an Indian consumer electronics retailer. It is a subsidiary of Reliance Retail, a wholly owned subsidiary of Reliance Industries. Reliance Digital opened its first store on 24 April 2007 in Delhi. Currently there are more than 8,600 Reliance Digital and 1,800 My Jio stores in around 800 cities in India in addition to an online presence. The stores are spread across the states of Andhra Pradesh, Delhi, Uttar Pradesh, Gujarat, Karnataka, Kerala, Maharashtra, Tamil Nadu, West Bengal, Telangana, Orissa, Assam, Bihar, and Jharkhand. Reliance Digital Stores are bigger in size than the other format Digital Xpress Mini Stores. It is one of the largest electronics retailers in India with over 5,000 products in its inventory.</v>
      </c>
      <c r="C11" s="328"/>
      <c r="D11" s="328"/>
      <c r="E11" s="328"/>
      <c r="F11" s="328"/>
      <c r="G11" s="328"/>
      <c r="H11" s="328"/>
      <c r="I11" s="328"/>
      <c r="J11" s="328"/>
    </row>
    <row r="12" spans="2:10" s="206" customFormat="1" ht="15" customHeight="1" x14ac:dyDescent="0.25">
      <c r="B12" s="328"/>
      <c r="C12" s="328"/>
      <c r="D12" s="328"/>
      <c r="E12" s="328"/>
      <c r="F12" s="328"/>
      <c r="G12" s="328"/>
      <c r="H12" s="328"/>
      <c r="I12" s="328"/>
      <c r="J12" s="328"/>
    </row>
    <row r="13" spans="2:10" s="206" customFormat="1" ht="15" customHeight="1" x14ac:dyDescent="0.25">
      <c r="B13" s="328"/>
      <c r="C13" s="328"/>
      <c r="D13" s="328"/>
      <c r="E13" s="328"/>
      <c r="F13" s="328"/>
      <c r="G13" s="328"/>
      <c r="H13" s="328"/>
      <c r="I13" s="328"/>
      <c r="J13" s="328"/>
    </row>
    <row r="14" spans="2:10" s="206" customFormat="1" ht="15" customHeight="1" x14ac:dyDescent="0.25">
      <c r="B14" s="328"/>
      <c r="C14" s="328"/>
      <c r="D14" s="328"/>
      <c r="E14" s="328"/>
      <c r="F14" s="328"/>
      <c r="G14" s="328"/>
      <c r="H14" s="328"/>
      <c r="I14" s="328"/>
      <c r="J14" s="328"/>
    </row>
    <row r="15" spans="2:10" s="206" customFormat="1" ht="37.5" customHeight="1" x14ac:dyDescent="0.25">
      <c r="B15" s="328"/>
      <c r="C15" s="328"/>
      <c r="D15" s="328"/>
      <c r="E15" s="328"/>
      <c r="F15" s="328"/>
      <c r="G15" s="328"/>
      <c r="H15" s="328"/>
      <c r="I15" s="328"/>
      <c r="J15" s="328"/>
    </row>
    <row r="16" spans="2:10" s="206" customFormat="1" ht="36" customHeight="1" x14ac:dyDescent="0.25">
      <c r="B16" s="328"/>
      <c r="C16" s="328"/>
      <c r="D16" s="328"/>
      <c r="E16" s="328"/>
      <c r="F16" s="328"/>
      <c r="G16" s="328"/>
      <c r="H16" s="328"/>
      <c r="I16" s="328"/>
      <c r="J16" s="328"/>
    </row>
    <row r="17" spans="2:10" s="206" customFormat="1" ht="20.25" customHeight="1" x14ac:dyDescent="0.25">
      <c r="B17" s="328"/>
      <c r="C17" s="328"/>
      <c r="D17" s="328"/>
      <c r="E17" s="328"/>
      <c r="F17" s="328"/>
      <c r="G17" s="328"/>
      <c r="H17" s="328"/>
      <c r="I17" s="328"/>
      <c r="J17" s="328"/>
    </row>
    <row r="18" spans="2:10" ht="21.75" thickBot="1" x14ac:dyDescent="0.4">
      <c r="B18" s="331" t="s">
        <v>376</v>
      </c>
      <c r="C18" s="331"/>
      <c r="D18" s="331"/>
      <c r="E18" s="331"/>
      <c r="F18" s="331"/>
      <c r="G18" s="331"/>
      <c r="H18" s="331"/>
      <c r="I18" s="331"/>
      <c r="J18" s="331"/>
    </row>
    <row r="19" spans="2:10" ht="15.75" thickTop="1" x14ac:dyDescent="0.25">
      <c r="B19" s="14"/>
      <c r="C19" s="14"/>
      <c r="D19" s="14"/>
      <c r="E19" s="14"/>
      <c r="F19" s="14"/>
      <c r="G19" s="14"/>
      <c r="H19" s="14"/>
      <c r="I19" s="14"/>
      <c r="J19" s="14"/>
    </row>
    <row r="20" spans="2:10" ht="15" customHeight="1" x14ac:dyDescent="0.25">
      <c r="B20" s="329" t="s">
        <v>389</v>
      </c>
      <c r="C20" s="329"/>
      <c r="D20" s="215"/>
      <c r="E20" s="329" t="s">
        <v>377</v>
      </c>
      <c r="F20" s="329"/>
      <c r="G20" s="215"/>
      <c r="H20" s="330" t="s">
        <v>371</v>
      </c>
      <c r="I20" s="330"/>
    </row>
    <row r="29" spans="2:10" ht="30.75" customHeight="1" x14ac:dyDescent="0.25"/>
    <row r="32" spans="2:10" x14ac:dyDescent="0.25">
      <c r="B32" s="329" t="s">
        <v>378</v>
      </c>
      <c r="C32" s="329"/>
      <c r="D32" s="2"/>
      <c r="E32" s="329" t="s">
        <v>390</v>
      </c>
      <c r="F32" s="329"/>
      <c r="G32" s="2"/>
      <c r="H32" s="329" t="s">
        <v>391</v>
      </c>
      <c r="I32" s="329"/>
    </row>
    <row r="41" ht="27" customHeight="1" x14ac:dyDescent="0.25"/>
    <row r="42" ht="18" customHeight="1" x14ac:dyDescent="0.25"/>
    <row r="43" ht="23.25" customHeight="1" x14ac:dyDescent="0.25"/>
    <row r="55" spans="2:10" ht="57" customHeight="1" x14ac:dyDescent="0.25"/>
    <row r="57" spans="2:10" ht="40.5" customHeight="1" x14ac:dyDescent="0.25"/>
    <row r="58" spans="2:10" x14ac:dyDescent="0.25">
      <c r="B58" s="11"/>
      <c r="C58" s="11"/>
      <c r="D58" s="11"/>
      <c r="E58" s="11"/>
      <c r="F58" s="11"/>
      <c r="G58" s="11"/>
      <c r="H58" s="11"/>
      <c r="I58" s="11"/>
      <c r="J58" s="11"/>
    </row>
    <row r="60" spans="2:10" x14ac:dyDescent="0.25">
      <c r="B60" s="11"/>
      <c r="C60" s="11"/>
      <c r="D60" s="11"/>
      <c r="E60" s="11"/>
      <c r="F60" s="11"/>
      <c r="G60" s="11"/>
      <c r="H60" s="11"/>
      <c r="I60" s="11"/>
      <c r="J60" s="11"/>
    </row>
    <row r="64" spans="2:10" ht="15.75" x14ac:dyDescent="0.25">
      <c r="B64" s="325" t="s">
        <v>378</v>
      </c>
      <c r="C64" s="325"/>
      <c r="D64" s="325"/>
      <c r="E64" s="325"/>
      <c r="F64" s="325"/>
      <c r="G64" s="325"/>
      <c r="H64" s="325"/>
      <c r="I64" s="325"/>
      <c r="J64" s="209"/>
    </row>
    <row r="65" spans="2:10" x14ac:dyDescent="0.25">
      <c r="C65" s="202">
        <f>'Historical Financial Statement'!F9</f>
        <v>43190</v>
      </c>
      <c r="D65" s="202">
        <f>'Historical Financial Statement'!G9</f>
        <v>43555</v>
      </c>
      <c r="E65" s="202">
        <f>'Historical Financial Statement'!H9</f>
        <v>43921</v>
      </c>
      <c r="F65" s="202">
        <f>'Historical Financial Statement'!I9</f>
        <v>44286</v>
      </c>
      <c r="G65" s="202">
        <f>'Historical Financial Statement'!J9</f>
        <v>44651</v>
      </c>
      <c r="H65" s="202">
        <f>'Historical Financial Statement'!K9</f>
        <v>45016</v>
      </c>
      <c r="I65" s="202">
        <f>'Historical Financial Statement'!L9</f>
        <v>45382</v>
      </c>
      <c r="J65" s="202"/>
    </row>
    <row r="66" spans="2:10" x14ac:dyDescent="0.25">
      <c r="B66" t="s">
        <v>377</v>
      </c>
      <c r="C66" s="139">
        <f>'Data Sheet'!D65-'Data Sheet'!D60</f>
        <v>-140420</v>
      </c>
      <c r="D66" s="139">
        <f>'Data Sheet'!E65-'Data Sheet'!E60</f>
        <v>-118646</v>
      </c>
      <c r="E66" s="139">
        <f>'Data Sheet'!F65-'Data Sheet'!F60</f>
        <v>-114232</v>
      </c>
      <c r="F66" s="139">
        <f>'Data Sheet'!G65-'Data Sheet'!G60</f>
        <v>-52905</v>
      </c>
      <c r="G66" s="139">
        <f>'Data Sheet'!H65-'Data Sheet'!H60</f>
        <v>-95925</v>
      </c>
      <c r="H66" s="139">
        <f>'Data Sheet'!I65-'Data Sheet'!I60</f>
        <v>-86581</v>
      </c>
      <c r="I66" s="139">
        <f>'Data Sheet'!J65-'Data Sheet'!J60</f>
        <v>-92040</v>
      </c>
      <c r="J66" s="139"/>
    </row>
    <row r="67" spans="2:10" x14ac:dyDescent="0.25">
      <c r="B67" t="s">
        <v>87</v>
      </c>
      <c r="C67" s="139">
        <f>'Data Sheet'!D66</f>
        <v>811273</v>
      </c>
      <c r="D67" s="139">
        <f>'Data Sheet'!E66</f>
        <v>997630</v>
      </c>
      <c r="E67" s="139">
        <f>'Data Sheet'!F66</f>
        <v>1163015</v>
      </c>
      <c r="F67" s="139">
        <f>'Data Sheet'!G66</f>
        <v>1320065</v>
      </c>
      <c r="G67" s="139">
        <f>'Data Sheet'!H66</f>
        <v>1498622</v>
      </c>
      <c r="H67" s="139">
        <f>'Data Sheet'!I66</f>
        <v>1605882</v>
      </c>
      <c r="I67" s="139">
        <f>'Data Sheet'!J66</f>
        <v>1755048</v>
      </c>
      <c r="J67" s="139"/>
    </row>
    <row r="68" spans="2:10" x14ac:dyDescent="0.25">
      <c r="B68" s="121" t="s">
        <v>378</v>
      </c>
      <c r="C68" s="210">
        <f t="shared" ref="C68:H68" si="0">C66/C67</f>
        <v>-0.17308600187606391</v>
      </c>
      <c r="D68" s="210">
        <f t="shared" si="0"/>
        <v>-0.11892785902589137</v>
      </c>
      <c r="E68" s="210">
        <f t="shared" si="0"/>
        <v>-9.8220573251419807E-2</v>
      </c>
      <c r="F68" s="210">
        <f t="shared" si="0"/>
        <v>-4.0077571937745492E-2</v>
      </c>
      <c r="G68" s="210">
        <f t="shared" si="0"/>
        <v>-6.4008802753462851E-2</v>
      </c>
      <c r="H68" s="210">
        <f t="shared" si="0"/>
        <v>-5.391492027434145E-2</v>
      </c>
      <c r="I68" s="210">
        <f>I66/I67</f>
        <v>-5.2443010105706511E-2</v>
      </c>
      <c r="J68" s="210"/>
    </row>
    <row r="70" spans="2:10" ht="15.75" x14ac:dyDescent="0.25">
      <c r="B70" s="325" t="s">
        <v>380</v>
      </c>
      <c r="C70" s="325"/>
      <c r="D70" s="325"/>
      <c r="E70" s="325"/>
      <c r="F70" s="325"/>
      <c r="G70" s="325"/>
      <c r="H70" s="325"/>
      <c r="I70" s="325"/>
      <c r="J70" s="209"/>
    </row>
    <row r="71" spans="2:10" x14ac:dyDescent="0.25">
      <c r="C71" s="202">
        <f>C$65</f>
        <v>43190</v>
      </c>
      <c r="D71" s="202">
        <f t="shared" ref="D71:I71" si="1">D$65</f>
        <v>43555</v>
      </c>
      <c r="E71" s="202">
        <f t="shared" si="1"/>
        <v>43921</v>
      </c>
      <c r="F71" s="202">
        <f t="shared" si="1"/>
        <v>44286</v>
      </c>
      <c r="G71" s="202">
        <f t="shared" si="1"/>
        <v>44651</v>
      </c>
      <c r="H71" s="202">
        <f t="shared" si="1"/>
        <v>45016</v>
      </c>
      <c r="I71" s="202">
        <f t="shared" si="1"/>
        <v>45382</v>
      </c>
      <c r="J71" s="202"/>
    </row>
    <row r="72" spans="2:10" x14ac:dyDescent="0.25">
      <c r="B72" t="s">
        <v>379</v>
      </c>
      <c r="C72" s="139">
        <f>'Historical Financial Statement'!F42*'Historical Financial Statement'!F44*'Historical Financial Statement'!F50</f>
        <v>18000.025292102895</v>
      </c>
      <c r="D72" s="139">
        <f>'Historical Financial Statement'!G42*'Historical Financial Statement'!G44*'Historical Financial Statement'!G50</f>
        <v>34084.271396557546</v>
      </c>
      <c r="E72" s="139">
        <f>'Historical Financial Statement'!H42*'Historical Financial Statement'!H44*'Historical Financial Statement'!H50</f>
        <v>34845.128819906073</v>
      </c>
      <c r="F72" s="139">
        <f>'Historical Financial Statement'!I42*'Historical Financial Statement'!I44*'Historical Financial Statement'!I50</f>
        <v>27639.678365931508</v>
      </c>
      <c r="G72" s="139">
        <f>'Historical Financial Statement'!J42*'Historical Financial Statement'!J44*'Historical Financial Statement'!J50</f>
        <v>23750.759999926096</v>
      </c>
      <c r="H72" s="139">
        <f>'Historical Financial Statement'!K42*'Historical Financial Statement'!K44*'Historical Financial Statement'!K50</f>
        <v>26113.324443393438</v>
      </c>
      <c r="I72" s="139">
        <f>'Historical Financial Statement'!L42*'Historical Financial Statement'!L44*'Historical Financial Statement'!L50</f>
        <v>78483.383999467929</v>
      </c>
      <c r="J72" s="139"/>
    </row>
    <row r="73" spans="2:10" x14ac:dyDescent="0.25">
      <c r="B73" t="s">
        <v>87</v>
      </c>
      <c r="C73" s="139">
        <f>C67</f>
        <v>811273</v>
      </c>
      <c r="D73" s="139">
        <f t="shared" ref="D73:I73" si="2">D67</f>
        <v>997630</v>
      </c>
      <c r="E73" s="139">
        <f t="shared" si="2"/>
        <v>1163015</v>
      </c>
      <c r="F73" s="139">
        <f t="shared" si="2"/>
        <v>1320065</v>
      </c>
      <c r="G73" s="139">
        <f t="shared" si="2"/>
        <v>1498622</v>
      </c>
      <c r="H73" s="139">
        <f t="shared" si="2"/>
        <v>1605882</v>
      </c>
      <c r="I73" s="139">
        <f t="shared" si="2"/>
        <v>1755048</v>
      </c>
      <c r="J73" s="139"/>
    </row>
    <row r="74" spans="2:10" x14ac:dyDescent="0.25">
      <c r="B74" s="121" t="s">
        <v>380</v>
      </c>
      <c r="C74" s="210">
        <f t="shared" ref="C74:H74" si="3">C72/C73</f>
        <v>2.2187383645336275E-2</v>
      </c>
      <c r="D74" s="210">
        <f t="shared" si="3"/>
        <v>3.4165243022520921E-2</v>
      </c>
      <c r="E74" s="210">
        <f t="shared" si="3"/>
        <v>2.9961031302181033E-2</v>
      </c>
      <c r="F74" s="210">
        <f t="shared" si="3"/>
        <v>2.0938119233470706E-2</v>
      </c>
      <c r="G74" s="210">
        <f t="shared" si="3"/>
        <v>1.5848399396196037E-2</v>
      </c>
      <c r="H74" s="210">
        <f t="shared" si="3"/>
        <v>1.6261048099046778E-2</v>
      </c>
      <c r="I74" s="210">
        <f>I72/I73</f>
        <v>4.4718653848480457E-2</v>
      </c>
      <c r="J74" s="210"/>
    </row>
    <row r="76" spans="2:10" ht="15.75" x14ac:dyDescent="0.25">
      <c r="B76" s="325" t="s">
        <v>381</v>
      </c>
      <c r="C76" s="325"/>
      <c r="D76" s="325"/>
      <c r="E76" s="325"/>
      <c r="F76" s="325"/>
      <c r="G76" s="325"/>
      <c r="H76" s="325"/>
      <c r="I76" s="325"/>
      <c r="J76" s="209"/>
    </row>
    <row r="77" spans="2:10" x14ac:dyDescent="0.25">
      <c r="C77" s="202">
        <f>C$65</f>
        <v>43190</v>
      </c>
      <c r="D77" s="202">
        <f t="shared" ref="D77:I77" si="4">D$65</f>
        <v>43555</v>
      </c>
      <c r="E77" s="202">
        <f t="shared" si="4"/>
        <v>43921</v>
      </c>
      <c r="F77" s="202">
        <f t="shared" si="4"/>
        <v>44286</v>
      </c>
      <c r="G77" s="202">
        <f t="shared" si="4"/>
        <v>44651</v>
      </c>
      <c r="H77" s="202">
        <f t="shared" si="4"/>
        <v>45016</v>
      </c>
      <c r="I77" s="202">
        <f t="shared" si="4"/>
        <v>45382</v>
      </c>
    </row>
    <row r="78" spans="2:10" x14ac:dyDescent="0.25">
      <c r="B78" t="s">
        <v>222</v>
      </c>
      <c r="C78" s="139">
        <f>'Historical Financial Statement'!F24-'Historical Financial Statement'!F30</f>
        <v>39912</v>
      </c>
      <c r="D78" s="139">
        <f>'Historical Financial Statement'!G24-'Historical Financial Statement'!G30</f>
        <v>66444</v>
      </c>
      <c r="E78" s="139">
        <f>'Historical Financial Statement'!H24-'Historical Financial Statement'!H30</f>
        <v>71042</v>
      </c>
      <c r="F78" s="139">
        <f>'Historical Financial Statement'!I24-'Historical Financial Statement'!I30</f>
        <v>50907</v>
      </c>
      <c r="G78" s="139">
        <f>'Historical Financial Statement'!J24-'Historical Financial Statement'!J30</f>
        <v>54643</v>
      </c>
      <c r="H78" s="139">
        <f>'Historical Financial Statement'!K24-'Historical Financial Statement'!K30</f>
        <v>66361</v>
      </c>
      <c r="I78" s="139">
        <f>'Historical Financial Statement'!L24-'Historical Financial Statement'!L30</f>
        <v>127579</v>
      </c>
      <c r="J78" s="139"/>
    </row>
    <row r="79" spans="2:10" x14ac:dyDescent="0.25">
      <c r="B79" t="str">
        <f>B73</f>
        <v>Total Assets</v>
      </c>
      <c r="C79" s="139">
        <f>C73</f>
        <v>811273</v>
      </c>
      <c r="D79" s="139">
        <f t="shared" ref="D79:I79" si="5">D73</f>
        <v>997630</v>
      </c>
      <c r="E79" s="139">
        <f t="shared" si="5"/>
        <v>1163015</v>
      </c>
      <c r="F79" s="139">
        <f t="shared" si="5"/>
        <v>1320065</v>
      </c>
      <c r="G79" s="139">
        <f t="shared" si="5"/>
        <v>1498622</v>
      </c>
      <c r="H79" s="139">
        <f t="shared" si="5"/>
        <v>1605882</v>
      </c>
      <c r="I79" s="139">
        <f t="shared" si="5"/>
        <v>1755048</v>
      </c>
      <c r="J79" s="139"/>
    </row>
    <row r="80" spans="2:10" x14ac:dyDescent="0.25">
      <c r="B80" s="121" t="s">
        <v>363</v>
      </c>
      <c r="C80" s="210">
        <f t="shared" ref="C80:H80" si="6">C78/C79</f>
        <v>4.9196756209068958E-2</v>
      </c>
      <c r="D80" s="210">
        <f t="shared" si="6"/>
        <v>6.6601846375910906E-2</v>
      </c>
      <c r="E80" s="210">
        <f t="shared" si="6"/>
        <v>6.1084336831425216E-2</v>
      </c>
      <c r="F80" s="210">
        <f t="shared" si="6"/>
        <v>3.8564010105562985E-2</v>
      </c>
      <c r="G80" s="210">
        <f t="shared" si="6"/>
        <v>3.6462163240630389E-2</v>
      </c>
      <c r="H80" s="210">
        <f t="shared" si="6"/>
        <v>4.1323708715833414E-2</v>
      </c>
      <c r="I80" s="210">
        <f>I78/I79</f>
        <v>7.2692598720946661E-2</v>
      </c>
      <c r="J80" s="211"/>
    </row>
    <row r="82" spans="2:10" ht="15.75" x14ac:dyDescent="0.25">
      <c r="B82" s="325" t="s">
        <v>382</v>
      </c>
      <c r="C82" s="325"/>
      <c r="D82" s="325"/>
      <c r="E82" s="325"/>
      <c r="F82" s="325"/>
      <c r="G82" s="325"/>
      <c r="H82" s="325"/>
      <c r="I82" s="325"/>
      <c r="J82" s="209"/>
    </row>
    <row r="83" spans="2:10" x14ac:dyDescent="0.25">
      <c r="C83" s="202">
        <f>C$65</f>
        <v>43190</v>
      </c>
      <c r="D83" s="202">
        <f t="shared" ref="D83:I83" si="7">D$65</f>
        <v>43555</v>
      </c>
      <c r="E83" s="202">
        <f t="shared" si="7"/>
        <v>43921</v>
      </c>
      <c r="F83" s="202">
        <f t="shared" si="7"/>
        <v>44286</v>
      </c>
      <c r="G83" s="202">
        <f t="shared" si="7"/>
        <v>44651</v>
      </c>
      <c r="H83" s="202">
        <f t="shared" si="7"/>
        <v>45016</v>
      </c>
      <c r="I83" s="202">
        <f t="shared" si="7"/>
        <v>45382</v>
      </c>
    </row>
    <row r="84" spans="2:10" x14ac:dyDescent="0.25">
      <c r="B84" t="s">
        <v>383</v>
      </c>
      <c r="C84" s="139">
        <f>('Data Sheet'!D70*'Data Sheet'!$B$9)/100000000</f>
        <v>110588963.66657464</v>
      </c>
      <c r="D84" s="139">
        <f>('Data Sheet'!E70*'Data Sheet'!$B$9)/100000000</f>
        <v>110664462.19660617</v>
      </c>
      <c r="E84" s="139">
        <f>('Data Sheet'!F70*'Data Sheet'!$B$9)/100000000</f>
        <v>118373886.31209467</v>
      </c>
      <c r="F84" s="139">
        <f>('Data Sheet'!G70*'Data Sheet'!$B$9)/100000000</f>
        <v>126280332.72699642</v>
      </c>
      <c r="G84" s="139">
        <f>('Data Sheet'!H70*'Data Sheet'!$B$9)/100000000</f>
        <v>126353635.08100291</v>
      </c>
      <c r="H84" s="139">
        <f>('Data Sheet'!I70*'Data Sheet'!$B$9)/100000000</f>
        <v>126355502.5617429</v>
      </c>
      <c r="I84" s="139">
        <f>('Data Sheet'!J70*'Data Sheet'!$B$9)/100000000</f>
        <v>126355502.5617429</v>
      </c>
      <c r="J84" s="139"/>
    </row>
    <row r="85" spans="2:10" x14ac:dyDescent="0.25">
      <c r="B85" t="s">
        <v>384</v>
      </c>
      <c r="C85" s="139">
        <f>'Data Sheet'!D59</f>
        <v>239843</v>
      </c>
      <c r="D85" s="139">
        <f>'Data Sheet'!E59</f>
        <v>307714</v>
      </c>
      <c r="E85" s="139">
        <f>'Data Sheet'!F59</f>
        <v>355133</v>
      </c>
      <c r="F85" s="139">
        <f>'Data Sheet'!G59</f>
        <v>278962</v>
      </c>
      <c r="G85" s="139">
        <f>'Data Sheet'!H59</f>
        <v>319158</v>
      </c>
      <c r="H85" s="139">
        <f>'Data Sheet'!I59</f>
        <v>451664</v>
      </c>
      <c r="I85" s="139">
        <f>'Data Sheet'!J59</f>
        <v>458991</v>
      </c>
      <c r="J85" s="139"/>
    </row>
    <row r="86" spans="2:10" x14ac:dyDescent="0.25">
      <c r="B86" s="121" t="s">
        <v>382</v>
      </c>
      <c r="C86" s="212">
        <f t="shared" ref="C86:H86" si="8">C84/C85</f>
        <v>461.08897765027388</v>
      </c>
      <c r="D86" s="212">
        <f t="shared" si="8"/>
        <v>359.63414793154089</v>
      </c>
      <c r="E86" s="212">
        <f t="shared" si="8"/>
        <v>333.32268843530358</v>
      </c>
      <c r="F86" s="212">
        <f t="shared" si="8"/>
        <v>452.67933527504255</v>
      </c>
      <c r="G86" s="212">
        <f t="shared" si="8"/>
        <v>395.89681311764991</v>
      </c>
      <c r="H86" s="212">
        <f t="shared" si="8"/>
        <v>279.75553190367816</v>
      </c>
      <c r="I86" s="212">
        <f>I84/I85</f>
        <v>275.2897171442205</v>
      </c>
      <c r="J86" s="212"/>
    </row>
    <row r="88" spans="2:10" ht="15.75" x14ac:dyDescent="0.25">
      <c r="B88" s="325" t="s">
        <v>385</v>
      </c>
      <c r="C88" s="325"/>
      <c r="D88" s="325"/>
      <c r="E88" s="325"/>
      <c r="F88" s="325"/>
      <c r="G88" s="325"/>
      <c r="H88" s="325"/>
      <c r="I88" s="325"/>
      <c r="J88" s="209"/>
    </row>
    <row r="89" spans="2:10" x14ac:dyDescent="0.25">
      <c r="C89" s="202">
        <f t="shared" ref="C89:I89" si="9">C71</f>
        <v>43190</v>
      </c>
      <c r="D89" s="202">
        <f t="shared" si="9"/>
        <v>43555</v>
      </c>
      <c r="E89" s="202">
        <f t="shared" si="9"/>
        <v>43921</v>
      </c>
      <c r="F89" s="202">
        <f t="shared" si="9"/>
        <v>44286</v>
      </c>
      <c r="G89" s="202">
        <f t="shared" si="9"/>
        <v>44651</v>
      </c>
      <c r="H89" s="202">
        <f t="shared" si="9"/>
        <v>45016</v>
      </c>
      <c r="I89" s="202">
        <f t="shared" si="9"/>
        <v>45382</v>
      </c>
      <c r="J89" s="202"/>
    </row>
    <row r="90" spans="2:10" x14ac:dyDescent="0.25">
      <c r="B90" t="s">
        <v>385</v>
      </c>
      <c r="C90" s="139">
        <f>'Data Sheet'!D17</f>
        <v>390823</v>
      </c>
      <c r="D90" s="139">
        <f>'Data Sheet'!E17</f>
        <v>568337</v>
      </c>
      <c r="E90" s="139">
        <f>'Data Sheet'!F17</f>
        <v>596679</v>
      </c>
      <c r="F90" s="139">
        <f>'Data Sheet'!G17</f>
        <v>466307</v>
      </c>
      <c r="G90" s="139">
        <f>'Data Sheet'!H17</f>
        <v>694673</v>
      </c>
      <c r="H90" s="139">
        <f>'Data Sheet'!I17</f>
        <v>876396</v>
      </c>
      <c r="I90" s="139">
        <f>'Data Sheet'!J17</f>
        <v>899041</v>
      </c>
      <c r="J90" s="139"/>
    </row>
    <row r="91" spans="2:10" x14ac:dyDescent="0.25">
      <c r="B91" t="str">
        <f>B79</f>
        <v>Total Assets</v>
      </c>
      <c r="C91" s="139">
        <f>C79</f>
        <v>811273</v>
      </c>
      <c r="D91" s="139">
        <f t="shared" ref="D91:I91" si="10">D79</f>
        <v>997630</v>
      </c>
      <c r="E91" s="139">
        <f t="shared" si="10"/>
        <v>1163015</v>
      </c>
      <c r="F91" s="139">
        <f t="shared" si="10"/>
        <v>1320065</v>
      </c>
      <c r="G91" s="139">
        <f t="shared" si="10"/>
        <v>1498622</v>
      </c>
      <c r="H91" s="139">
        <f t="shared" si="10"/>
        <v>1605882</v>
      </c>
      <c r="I91" s="139">
        <f t="shared" si="10"/>
        <v>1755048</v>
      </c>
      <c r="J91" s="139"/>
    </row>
    <row r="92" spans="2:10" x14ac:dyDescent="0.25">
      <c r="B92" s="203" t="s">
        <v>385</v>
      </c>
      <c r="C92" s="204">
        <f>C90/C91</f>
        <v>0.48174042523293636</v>
      </c>
      <c r="D92" s="204">
        <f t="shared" ref="D92:I92" si="11">D90/D91</f>
        <v>0.56968715856580099</v>
      </c>
      <c r="E92" s="204">
        <f t="shared" si="11"/>
        <v>0.51304497362458779</v>
      </c>
      <c r="F92" s="204">
        <f t="shared" si="11"/>
        <v>0.35324548412388784</v>
      </c>
      <c r="G92" s="204">
        <f t="shared" si="11"/>
        <v>0.4635411731577409</v>
      </c>
      <c r="H92" s="204">
        <f t="shared" si="11"/>
        <v>0.54574121884422389</v>
      </c>
      <c r="I92" s="204">
        <f t="shared" si="11"/>
        <v>0.5122600635424216</v>
      </c>
      <c r="J92" s="204"/>
    </row>
    <row r="94" spans="2:10" ht="15.75" x14ac:dyDescent="0.25">
      <c r="B94" s="325" t="s">
        <v>386</v>
      </c>
      <c r="C94" s="325"/>
      <c r="D94" s="325"/>
      <c r="E94" s="325"/>
      <c r="F94" s="325"/>
      <c r="G94" s="325"/>
      <c r="H94" s="325"/>
      <c r="I94" s="325"/>
      <c r="J94" s="209"/>
    </row>
    <row r="95" spans="2:10" x14ac:dyDescent="0.25">
      <c r="C95" s="202">
        <f>C89</f>
        <v>43190</v>
      </c>
      <c r="D95" s="202">
        <f t="shared" ref="D95:I95" si="12">D89</f>
        <v>43555</v>
      </c>
      <c r="E95" s="202">
        <f t="shared" si="12"/>
        <v>43921</v>
      </c>
      <c r="F95" s="202">
        <f t="shared" si="12"/>
        <v>44286</v>
      </c>
      <c r="G95" s="202">
        <f t="shared" si="12"/>
        <v>44651</v>
      </c>
      <c r="H95" s="202">
        <f t="shared" si="12"/>
        <v>45016</v>
      </c>
      <c r="I95" s="202">
        <f t="shared" si="12"/>
        <v>45382</v>
      </c>
      <c r="J95" s="202"/>
    </row>
    <row r="96" spans="2:10" x14ac:dyDescent="0.25">
      <c r="B96" s="203" t="s">
        <v>387</v>
      </c>
      <c r="C96" s="205">
        <f>(C68*1.2)+(C74*1.4)+(C80*3.3)+(C86*0.6)+(C92*1)</f>
        <v>277.12083544573937</v>
      </c>
      <c r="D96" s="205">
        <f t="shared" ref="D96:I96" si="13">(D68*1.2)+(D74*1.4)+(D80*3.3)+(D86*0.6)+(D92*1)</f>
        <v>216.47507991993129</v>
      </c>
      <c r="E96" s="205">
        <f t="shared" si="13"/>
        <v>200.63231710227177</v>
      </c>
      <c r="F96" s="205">
        <f t="shared" si="13"/>
        <v>272.06932816309933</v>
      </c>
      <c r="G96" s="205">
        <f t="shared" si="13"/>
        <v>238.06733137829229</v>
      </c>
      <c r="H96" s="205">
        <f t="shared" si="13"/>
        <v>168.49349616282282</v>
      </c>
      <c r="I96" s="205">
        <f t="shared" si="13"/>
        <v>165.92565042911488</v>
      </c>
      <c r="J96" s="205"/>
    </row>
    <row r="97" spans="2:10" x14ac:dyDescent="0.25">
      <c r="B97" s="203" t="s">
        <v>388</v>
      </c>
      <c r="C97" s="204" t="str">
        <f>IF(C96&lt;1.81,"Distressed",IF(C96&gt;3,"Strong","Grey Zone"))</f>
        <v>Strong</v>
      </c>
      <c r="D97" s="204" t="str">
        <f t="shared" ref="D97:H97" si="14">IF(D96&lt;1.81,"Distressed",IF(D96&gt;3,"Strong","Grey Zone"))</f>
        <v>Strong</v>
      </c>
      <c r="E97" s="204" t="str">
        <f t="shared" si="14"/>
        <v>Strong</v>
      </c>
      <c r="F97" s="204" t="str">
        <f t="shared" si="14"/>
        <v>Strong</v>
      </c>
      <c r="G97" s="204" t="str">
        <f t="shared" si="14"/>
        <v>Strong</v>
      </c>
      <c r="H97" s="204" t="str">
        <f t="shared" si="14"/>
        <v>Strong</v>
      </c>
      <c r="I97" s="204" t="str">
        <f>IF(I96&lt;1.81,"Distressed",IF(I96&gt;3,"Strong","Grey Zone"))</f>
        <v>Strong</v>
      </c>
      <c r="J97" s="204"/>
    </row>
    <row r="112" spans="2:10" x14ac:dyDescent="0.25">
      <c r="B112" s="11"/>
      <c r="C112" s="11"/>
      <c r="D112" s="11"/>
      <c r="E112" s="11"/>
      <c r="F112" s="11"/>
      <c r="G112" s="11"/>
      <c r="H112" s="11"/>
      <c r="I112" s="11"/>
      <c r="J112" s="11"/>
    </row>
    <row r="114" spans="2:10" x14ac:dyDescent="0.25">
      <c r="B114" s="272" t="s">
        <v>731</v>
      </c>
      <c r="J114" s="273" t="s">
        <v>734</v>
      </c>
    </row>
    <row r="115" spans="2:10" x14ac:dyDescent="0.25">
      <c r="B115" s="272" t="s">
        <v>733</v>
      </c>
      <c r="J115" s="273" t="s">
        <v>735</v>
      </c>
    </row>
  </sheetData>
  <mergeCells count="16">
    <mergeCell ref="B1:F7"/>
    <mergeCell ref="B10:J10"/>
    <mergeCell ref="B11:J17"/>
    <mergeCell ref="B18:J18"/>
    <mergeCell ref="B20:C20"/>
    <mergeCell ref="E20:F20"/>
    <mergeCell ref="H20:I20"/>
    <mergeCell ref="B94:I94"/>
    <mergeCell ref="B76:I76"/>
    <mergeCell ref="B82:I82"/>
    <mergeCell ref="B32:C32"/>
    <mergeCell ref="E32:F32"/>
    <mergeCell ref="H32:I32"/>
    <mergeCell ref="B64:I64"/>
    <mergeCell ref="B70:I70"/>
    <mergeCell ref="B88:I88"/>
  </mergeCells>
  <pageMargins left="0.33" right="0.39" top="0.75" bottom="0.75" header="0.3" footer="0.3"/>
  <pageSetup paperSize="9" scale="63" fitToHeight="0" orientation="portrait" r:id="rId1"/>
  <rowBreaks count="1" manualBreakCount="1">
    <brk id="59"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B3B5B-8F50-4349-9254-6D7C5156ECC2}">
  <dimension ref="B1:P6"/>
  <sheetViews>
    <sheetView showGridLines="0" workbookViewId="0">
      <selection activeCell="B4" sqref="B4:F4"/>
    </sheetView>
  </sheetViews>
  <sheetFormatPr defaultRowHeight="15" x14ac:dyDescent="0.25"/>
  <cols>
    <col min="1" max="1" width="2.28515625" customWidth="1"/>
  </cols>
  <sheetData>
    <row r="1" spans="2:16" x14ac:dyDescent="0.25">
      <c r="B1" s="11"/>
      <c r="C1" s="11"/>
      <c r="D1" s="11"/>
      <c r="E1" s="11"/>
      <c r="F1" s="11"/>
      <c r="G1" s="11"/>
      <c r="H1" s="11"/>
      <c r="I1" s="11"/>
      <c r="J1" s="11"/>
      <c r="K1" s="11"/>
      <c r="L1" s="11"/>
      <c r="M1" s="11"/>
      <c r="N1" s="11"/>
      <c r="O1" s="11"/>
      <c r="P1" s="11"/>
    </row>
    <row r="2" spans="2:16" ht="21" x14ac:dyDescent="0.25">
      <c r="B2" s="334" t="str">
        <f>'Data Sheet'!B1</f>
        <v>RELIANCE INDUSTRIES LTD</v>
      </c>
      <c r="C2" s="334"/>
      <c r="D2" s="335"/>
      <c r="E2" s="335"/>
      <c r="F2" s="335"/>
      <c r="G2" s="57"/>
      <c r="H2" s="11"/>
      <c r="I2" s="11"/>
      <c r="J2" s="11"/>
      <c r="K2" s="11"/>
      <c r="L2" s="11"/>
      <c r="M2" s="11"/>
      <c r="N2" s="11"/>
      <c r="O2" s="11"/>
      <c r="P2" s="11"/>
    </row>
    <row r="3" spans="2:16" ht="21" x14ac:dyDescent="0.25">
      <c r="B3" s="335"/>
      <c r="C3" s="335"/>
      <c r="D3" s="335"/>
      <c r="E3" s="335"/>
      <c r="F3" s="335"/>
      <c r="G3" s="57"/>
      <c r="H3" s="11"/>
      <c r="I3" s="11"/>
      <c r="J3" s="11"/>
      <c r="K3" s="11"/>
      <c r="L3" s="11"/>
      <c r="M3" s="11"/>
      <c r="N3" s="11"/>
      <c r="O3" s="11"/>
      <c r="P3" s="11"/>
    </row>
    <row r="4" spans="2:16" ht="18.75" x14ac:dyDescent="0.25">
      <c r="B4" s="336" t="s">
        <v>63</v>
      </c>
      <c r="C4" s="336"/>
      <c r="D4" s="336"/>
      <c r="E4" s="336"/>
      <c r="F4" s="336"/>
      <c r="G4" s="58"/>
      <c r="H4" s="11"/>
      <c r="I4" s="11"/>
      <c r="J4" s="11"/>
      <c r="K4" s="11"/>
      <c r="L4" s="11"/>
      <c r="M4" s="11"/>
      <c r="N4" s="11"/>
      <c r="O4" s="11"/>
      <c r="P4" s="11"/>
    </row>
    <row r="5" spans="2:16" x14ac:dyDescent="0.25">
      <c r="B5" s="11"/>
      <c r="C5" s="11"/>
      <c r="D5" s="11"/>
      <c r="E5" s="11"/>
      <c r="F5" s="11"/>
      <c r="G5" s="11"/>
      <c r="H5" s="11"/>
      <c r="I5" s="11"/>
      <c r="J5" s="11"/>
      <c r="K5" s="11"/>
      <c r="L5" s="11"/>
      <c r="M5" s="11"/>
      <c r="N5" s="11"/>
      <c r="O5" s="11"/>
      <c r="P5" s="11"/>
    </row>
    <row r="6" spans="2:16" x14ac:dyDescent="0.25">
      <c r="B6" s="11"/>
      <c r="C6" s="11"/>
      <c r="D6" s="11"/>
      <c r="E6" s="11"/>
      <c r="F6" s="11"/>
      <c r="G6" s="11"/>
      <c r="H6" s="11"/>
      <c r="I6" s="11"/>
      <c r="J6" s="11"/>
      <c r="K6" s="11"/>
      <c r="L6" s="11"/>
      <c r="M6" s="11"/>
      <c r="N6" s="11"/>
      <c r="O6" s="11"/>
      <c r="P6" s="11"/>
    </row>
  </sheetData>
  <mergeCells count="2">
    <mergeCell ref="B2:F3"/>
    <mergeCell ref="B4:F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469A-CFE0-4F30-B468-9A717835EDF0}">
  <dimension ref="B2:P12"/>
  <sheetViews>
    <sheetView topLeftCell="B1" workbookViewId="0">
      <selection activeCell="R13" sqref="R13"/>
    </sheetView>
  </sheetViews>
  <sheetFormatPr defaultRowHeight="15" x14ac:dyDescent="0.25"/>
  <cols>
    <col min="3" max="3" width="16.5703125" bestFit="1" customWidth="1"/>
    <col min="4" max="4" width="9.28515625" bestFit="1" customWidth="1"/>
    <col min="5" max="5" width="14.28515625" bestFit="1" customWidth="1"/>
    <col min="6" max="6" width="16.7109375" bestFit="1" customWidth="1"/>
    <col min="7" max="7" width="10.85546875" bestFit="1" customWidth="1"/>
    <col min="8" max="8" width="14.5703125" bestFit="1" customWidth="1"/>
    <col min="9" max="9" width="14.5703125" customWidth="1"/>
    <col min="10" max="10" width="11.140625" bestFit="1" customWidth="1"/>
    <col min="11" max="11" width="14.5703125" bestFit="1" customWidth="1"/>
    <col min="12" max="12" width="14.42578125" bestFit="1" customWidth="1"/>
    <col min="13" max="13" width="13.42578125" bestFit="1" customWidth="1"/>
    <col min="14" max="14" width="9.5703125" bestFit="1" customWidth="1"/>
    <col min="16" max="16" width="9.5703125" bestFit="1" customWidth="1"/>
  </cols>
  <sheetData>
    <row r="2" spans="2:16" x14ac:dyDescent="0.25">
      <c r="B2" t="s">
        <v>180</v>
      </c>
      <c r="C2" t="s">
        <v>170</v>
      </c>
      <c r="D2" t="s">
        <v>181</v>
      </c>
      <c r="E2" t="s">
        <v>309</v>
      </c>
      <c r="F2" t="s">
        <v>310</v>
      </c>
      <c r="G2" t="s">
        <v>183</v>
      </c>
      <c r="H2" t="s">
        <v>311</v>
      </c>
      <c r="I2" t="s">
        <v>303</v>
      </c>
      <c r="J2" t="s">
        <v>312</v>
      </c>
      <c r="K2" t="s">
        <v>313</v>
      </c>
      <c r="L2" t="s">
        <v>314</v>
      </c>
      <c r="M2" t="s">
        <v>315</v>
      </c>
      <c r="N2" t="s">
        <v>321</v>
      </c>
      <c r="O2" t="s">
        <v>137</v>
      </c>
      <c r="P2" t="s">
        <v>136</v>
      </c>
    </row>
    <row r="3" spans="2:16" x14ac:dyDescent="0.25">
      <c r="B3">
        <v>1</v>
      </c>
      <c r="C3" t="s">
        <v>185</v>
      </c>
      <c r="D3" s="50">
        <v>1367.8</v>
      </c>
      <c r="E3" s="50">
        <v>1849041.41</v>
      </c>
      <c r="F3" s="50">
        <v>1353.25</v>
      </c>
      <c r="G3" s="50">
        <v>369575</v>
      </c>
      <c r="H3" s="50">
        <v>106502</v>
      </c>
      <c r="I3" s="50">
        <f>G3-H3</f>
        <v>263073</v>
      </c>
      <c r="J3" s="50">
        <v>2112114.41</v>
      </c>
      <c r="K3" s="50">
        <v>136392</v>
      </c>
      <c r="L3" s="50">
        <v>53382</v>
      </c>
      <c r="M3" s="50">
        <v>94647</v>
      </c>
      <c r="N3" s="50">
        <v>976541</v>
      </c>
      <c r="O3" s="69">
        <f>(K3+L3)/N3</f>
        <v>0.19433285443212317</v>
      </c>
      <c r="P3" s="50">
        <f>K3+L3</f>
        <v>189774</v>
      </c>
    </row>
    <row r="4" spans="2:16" x14ac:dyDescent="0.25">
      <c r="B4">
        <v>2</v>
      </c>
      <c r="C4" t="s">
        <v>186</v>
      </c>
      <c r="D4" s="50">
        <v>139.91</v>
      </c>
      <c r="E4" s="50">
        <v>197458.74</v>
      </c>
      <c r="F4" s="50">
        <v>1412.12</v>
      </c>
      <c r="G4" s="50">
        <v>152270.56</v>
      </c>
      <c r="H4" s="50">
        <v>3304.94</v>
      </c>
      <c r="I4" s="50">
        <f t="shared" ref="I4:I12" si="0">G4-H4</f>
        <v>148965.62</v>
      </c>
      <c r="J4" s="50">
        <v>346424.36</v>
      </c>
      <c r="K4" s="50">
        <v>24487.360000000001</v>
      </c>
      <c r="L4" s="50">
        <v>16777.34</v>
      </c>
      <c r="M4" s="50">
        <v>13788.83</v>
      </c>
      <c r="N4" s="50">
        <v>758105.81</v>
      </c>
      <c r="O4" s="69">
        <f t="shared" ref="O4:O12" si="1">(K4+L4)/N4</f>
        <v>5.4431320081823401E-2</v>
      </c>
      <c r="P4" s="50">
        <f t="shared" ref="P4:P12" si="2">K4+L4</f>
        <v>41264.699999999997</v>
      </c>
    </row>
    <row r="5" spans="2:16" x14ac:dyDescent="0.25">
      <c r="B5">
        <v>3</v>
      </c>
      <c r="C5" t="s">
        <v>187</v>
      </c>
      <c r="D5" s="50">
        <v>319.45</v>
      </c>
      <c r="E5" s="50">
        <v>138548.92000000001</v>
      </c>
      <c r="F5" s="50">
        <v>433.85</v>
      </c>
      <c r="G5" s="50">
        <v>61100.57</v>
      </c>
      <c r="H5" s="50">
        <v>10475.59</v>
      </c>
      <c r="I5" s="50">
        <f t="shared" si="0"/>
        <v>50624.979999999996</v>
      </c>
      <c r="J5" s="50">
        <v>189173.9</v>
      </c>
      <c r="K5" s="50">
        <v>22115.93</v>
      </c>
      <c r="L5" s="50">
        <v>7256.69</v>
      </c>
      <c r="M5" s="50">
        <v>13336.55</v>
      </c>
      <c r="N5" s="50">
        <v>440271.86</v>
      </c>
      <c r="O5" s="69">
        <f t="shared" si="1"/>
        <v>6.6714733937344992E-2</v>
      </c>
      <c r="P5" s="50">
        <f t="shared" si="2"/>
        <v>29372.62</v>
      </c>
    </row>
    <row r="6" spans="2:16" x14ac:dyDescent="0.25">
      <c r="B6">
        <v>4</v>
      </c>
      <c r="C6" t="s">
        <v>188</v>
      </c>
      <c r="D6" s="50">
        <v>409.5</v>
      </c>
      <c r="E6" s="50">
        <v>87101.87</v>
      </c>
      <c r="F6" s="50">
        <v>212.78</v>
      </c>
      <c r="G6" s="50">
        <v>70558.22</v>
      </c>
      <c r="H6" s="50">
        <v>253.8</v>
      </c>
      <c r="I6" s="50">
        <f t="shared" si="0"/>
        <v>70304.42</v>
      </c>
      <c r="J6" s="50">
        <v>157406.29</v>
      </c>
      <c r="K6" s="50">
        <v>17190.61</v>
      </c>
      <c r="L6" s="50">
        <v>6274.79</v>
      </c>
      <c r="M6" s="50">
        <v>10212.69</v>
      </c>
      <c r="N6" s="50">
        <v>431043.22</v>
      </c>
      <c r="O6" s="69">
        <f t="shared" si="1"/>
        <v>5.4438624507305793E-2</v>
      </c>
      <c r="P6" s="50">
        <f t="shared" si="2"/>
        <v>23465.4</v>
      </c>
    </row>
    <row r="7" spans="2:16" x14ac:dyDescent="0.25">
      <c r="B7">
        <v>5</v>
      </c>
      <c r="C7" t="s">
        <v>189</v>
      </c>
      <c r="D7" s="50">
        <v>125.77</v>
      </c>
      <c r="E7" s="50">
        <v>22035.31</v>
      </c>
      <c r="F7" s="50">
        <v>175.26</v>
      </c>
      <c r="G7" s="50">
        <v>13143.39</v>
      </c>
      <c r="H7" s="50">
        <v>31.39</v>
      </c>
      <c r="I7" s="50">
        <f t="shared" si="0"/>
        <v>13112</v>
      </c>
      <c r="J7" s="50">
        <v>35147.31</v>
      </c>
      <c r="K7" s="50">
        <v>659.97</v>
      </c>
      <c r="L7" s="50">
        <v>1375.12</v>
      </c>
      <c r="M7" s="50">
        <v>-287.67</v>
      </c>
      <c r="N7" s="50">
        <v>88790.83</v>
      </c>
      <c r="O7" s="69">
        <f t="shared" si="1"/>
        <v>2.292004703638878E-2</v>
      </c>
      <c r="P7" s="50">
        <f t="shared" si="2"/>
        <v>2035.09</v>
      </c>
    </row>
    <row r="8" spans="2:16" x14ac:dyDescent="0.25">
      <c r="B8">
        <v>6</v>
      </c>
      <c r="C8" t="s">
        <v>316</v>
      </c>
      <c r="D8" s="50">
        <v>643.5</v>
      </c>
      <c r="E8" s="50">
        <v>9578.7099999999991</v>
      </c>
      <c r="F8" s="50">
        <v>14.89</v>
      </c>
      <c r="G8" s="50">
        <v>3117.43</v>
      </c>
      <c r="H8" s="50">
        <v>375.29</v>
      </c>
      <c r="I8" s="50">
        <f t="shared" si="0"/>
        <v>2742.14</v>
      </c>
      <c r="J8" s="50">
        <v>12320.85</v>
      </c>
      <c r="K8" s="50">
        <v>-65.150000000000006</v>
      </c>
      <c r="L8" s="50">
        <v>607.03</v>
      </c>
      <c r="M8" s="50">
        <v>-183.08</v>
      </c>
      <c r="N8" s="50">
        <v>57073.11</v>
      </c>
      <c r="O8" s="69">
        <f t="shared" si="1"/>
        <v>9.4944887355884414E-3</v>
      </c>
      <c r="P8" s="50">
        <f t="shared" si="2"/>
        <v>541.88</v>
      </c>
    </row>
    <row r="9" spans="2:16" x14ac:dyDescent="0.25">
      <c r="B9">
        <v>7</v>
      </c>
      <c r="C9" t="s">
        <v>317</v>
      </c>
      <c r="D9" s="50">
        <v>39.25</v>
      </c>
      <c r="E9" s="50">
        <v>301.73</v>
      </c>
      <c r="F9" s="50">
        <v>7.69</v>
      </c>
      <c r="G9" s="50">
        <v>0</v>
      </c>
      <c r="H9" s="50">
        <v>0.15</v>
      </c>
      <c r="I9" s="50">
        <f t="shared" si="0"/>
        <v>-0.15</v>
      </c>
      <c r="J9" s="50">
        <v>301.58</v>
      </c>
      <c r="K9" s="50">
        <v>8.0399999999999991</v>
      </c>
      <c r="L9" s="50">
        <v>0</v>
      </c>
      <c r="M9" s="50">
        <v>7.02</v>
      </c>
      <c r="N9" s="50">
        <v>8.23</v>
      </c>
      <c r="O9" s="69">
        <f t="shared" si="1"/>
        <v>0.97691373025516393</v>
      </c>
      <c r="P9" s="50">
        <f t="shared" si="2"/>
        <v>8.0399999999999991</v>
      </c>
    </row>
    <row r="10" spans="2:16" x14ac:dyDescent="0.25">
      <c r="B10">
        <v>8</v>
      </c>
      <c r="C10" t="s">
        <v>318</v>
      </c>
      <c r="D10" s="50">
        <v>80.900000000000006</v>
      </c>
      <c r="E10" s="50">
        <v>169.69</v>
      </c>
      <c r="F10" s="50">
        <v>2.1</v>
      </c>
      <c r="G10" s="50">
        <v>4.66</v>
      </c>
      <c r="H10" s="50">
        <v>1.8</v>
      </c>
      <c r="I10" s="50">
        <f t="shared" si="0"/>
        <v>2.8600000000000003</v>
      </c>
      <c r="J10" s="50">
        <v>172.55</v>
      </c>
      <c r="K10" s="50">
        <v>11.8</v>
      </c>
      <c r="L10" s="50">
        <v>3.58</v>
      </c>
      <c r="M10" s="50">
        <v>7.98</v>
      </c>
      <c r="N10" s="50">
        <v>65.16</v>
      </c>
      <c r="O10" s="69">
        <f t="shared" si="1"/>
        <v>0.23603437691835485</v>
      </c>
      <c r="P10" s="50">
        <f t="shared" si="2"/>
        <v>15.38</v>
      </c>
    </row>
    <row r="11" spans="2:16" x14ac:dyDescent="0.25">
      <c r="B11">
        <v>9</v>
      </c>
      <c r="C11" t="s">
        <v>319</v>
      </c>
      <c r="D11" s="50">
        <v>9.33</v>
      </c>
      <c r="E11" s="50">
        <v>147.41999999999999</v>
      </c>
      <c r="F11" s="50">
        <v>15.8</v>
      </c>
      <c r="G11" s="50">
        <v>8.42</v>
      </c>
      <c r="H11" s="50">
        <v>0.28000000000000003</v>
      </c>
      <c r="I11" s="50">
        <f t="shared" si="0"/>
        <v>8.14</v>
      </c>
      <c r="J11" s="50">
        <v>155.56</v>
      </c>
      <c r="K11" s="50">
        <v>3.33</v>
      </c>
      <c r="L11" s="50">
        <v>2.78</v>
      </c>
      <c r="M11" s="50">
        <v>1.56</v>
      </c>
      <c r="N11" s="50">
        <v>146.55000000000001</v>
      </c>
      <c r="O11" s="69">
        <f t="shared" si="1"/>
        <v>4.1692255203002383E-2</v>
      </c>
      <c r="P11" s="50">
        <f t="shared" si="2"/>
        <v>6.1099999999999994</v>
      </c>
    </row>
    <row r="12" spans="2:16" x14ac:dyDescent="0.25">
      <c r="B12">
        <v>10</v>
      </c>
      <c r="C12" t="s">
        <v>320</v>
      </c>
      <c r="D12" s="50">
        <v>116.4</v>
      </c>
      <c r="E12" s="50">
        <v>64.72</v>
      </c>
      <c r="F12" s="50">
        <v>0.56000000000000005</v>
      </c>
      <c r="G12" s="50">
        <v>8.91</v>
      </c>
      <c r="H12" s="50">
        <v>1.98</v>
      </c>
      <c r="I12" s="50">
        <f t="shared" si="0"/>
        <v>6.93</v>
      </c>
      <c r="J12" s="50">
        <v>71.38</v>
      </c>
      <c r="K12" s="50">
        <v>7.27</v>
      </c>
      <c r="L12" s="50">
        <v>0.76</v>
      </c>
      <c r="M12" s="50">
        <v>4.3099999999999996</v>
      </c>
      <c r="N12" s="50">
        <v>112.91</v>
      </c>
      <c r="O12" s="69">
        <f t="shared" si="1"/>
        <v>7.1118590027455492E-2</v>
      </c>
      <c r="P12" s="50">
        <f t="shared" si="2"/>
        <v>8.0299999999999994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91B5-F1AE-4E9C-BA24-CCB31129D37C}">
  <dimension ref="C8:O43"/>
  <sheetViews>
    <sheetView topLeftCell="A8" workbookViewId="0">
      <selection activeCell="I47" sqref="I47"/>
    </sheetView>
  </sheetViews>
  <sheetFormatPr defaultRowHeight="15" x14ac:dyDescent="0.25"/>
  <cols>
    <col min="3" max="3" width="24.85546875" bestFit="1" customWidth="1"/>
  </cols>
  <sheetData>
    <row r="8" spans="3:15" x14ac:dyDescent="0.25">
      <c r="D8" s="33">
        <v>41699</v>
      </c>
      <c r="E8" s="33">
        <v>42064</v>
      </c>
      <c r="F8" s="33">
        <v>42430</v>
      </c>
      <c r="G8" s="33">
        <v>42795</v>
      </c>
      <c r="H8" s="33">
        <v>43160</v>
      </c>
      <c r="I8" s="33">
        <v>43525</v>
      </c>
      <c r="J8" s="33">
        <v>43891</v>
      </c>
      <c r="K8" s="33">
        <v>44256</v>
      </c>
      <c r="L8" s="33">
        <v>44621</v>
      </c>
      <c r="M8" s="33">
        <v>44986</v>
      </c>
      <c r="N8" s="33">
        <v>45352</v>
      </c>
      <c r="O8" s="33">
        <v>45717</v>
      </c>
    </row>
    <row r="9" spans="3:15" x14ac:dyDescent="0.25">
      <c r="C9" s="2" t="s">
        <v>225</v>
      </c>
      <c r="D9" s="34">
        <v>2940</v>
      </c>
      <c r="E9" s="34">
        <v>2943</v>
      </c>
      <c r="F9" s="34">
        <v>2948</v>
      </c>
      <c r="G9" s="34">
        <v>2959</v>
      </c>
      <c r="H9" s="34">
        <v>5922</v>
      </c>
      <c r="I9" s="34">
        <v>5926</v>
      </c>
      <c r="J9" s="34">
        <v>6339</v>
      </c>
      <c r="K9" s="34">
        <v>6445</v>
      </c>
      <c r="L9" s="34">
        <v>6765</v>
      </c>
      <c r="M9" s="34">
        <v>6766</v>
      </c>
      <c r="N9" s="34">
        <v>6766</v>
      </c>
      <c r="O9" s="34">
        <v>13532</v>
      </c>
    </row>
    <row r="10" spans="3:15" x14ac:dyDescent="0.25">
      <c r="C10" t="s">
        <v>12</v>
      </c>
      <c r="D10" s="34">
        <v>195747</v>
      </c>
      <c r="E10" s="34">
        <v>215556</v>
      </c>
      <c r="F10" s="34">
        <v>228608</v>
      </c>
      <c r="G10" s="34">
        <v>260750</v>
      </c>
      <c r="H10" s="34">
        <v>287584</v>
      </c>
      <c r="I10" s="34">
        <v>381186</v>
      </c>
      <c r="J10" s="34">
        <v>442827</v>
      </c>
      <c r="K10" s="34">
        <v>693727</v>
      </c>
      <c r="L10" s="34">
        <v>772720</v>
      </c>
      <c r="M10" s="34">
        <v>709106</v>
      </c>
      <c r="N10" s="34">
        <v>786715</v>
      </c>
      <c r="O10" s="34">
        <v>829668</v>
      </c>
    </row>
    <row r="11" spans="3:15" x14ac:dyDescent="0.25">
      <c r="C11" s="2" t="s">
        <v>226</v>
      </c>
      <c r="D11" s="34">
        <v>138761</v>
      </c>
      <c r="E11" s="34">
        <v>168251</v>
      </c>
      <c r="F11" s="34">
        <v>194714</v>
      </c>
      <c r="G11" s="34">
        <v>217475</v>
      </c>
      <c r="H11" s="34">
        <v>239843</v>
      </c>
      <c r="I11" s="34">
        <v>307714</v>
      </c>
      <c r="J11" s="34">
        <v>355133</v>
      </c>
      <c r="K11" s="34">
        <v>278962</v>
      </c>
      <c r="L11" s="34">
        <v>319158</v>
      </c>
      <c r="M11" s="34">
        <v>451664</v>
      </c>
      <c r="N11" s="34">
        <v>458991</v>
      </c>
      <c r="O11" s="34">
        <v>369575</v>
      </c>
    </row>
    <row r="12" spans="3:15" x14ac:dyDescent="0.25">
      <c r="C12" t="s">
        <v>227</v>
      </c>
      <c r="D12" s="34">
        <v>101019</v>
      </c>
      <c r="E12" s="34">
        <v>128165</v>
      </c>
      <c r="F12" s="34">
        <v>154957</v>
      </c>
      <c r="G12" s="34">
        <v>172285</v>
      </c>
      <c r="H12" s="34">
        <v>164385</v>
      </c>
      <c r="I12" s="34">
        <v>226345</v>
      </c>
      <c r="J12" s="34">
        <v>216470</v>
      </c>
      <c r="K12" s="34">
        <v>182520</v>
      </c>
      <c r="L12" s="34">
        <v>224883</v>
      </c>
      <c r="M12" s="34">
        <v>296023</v>
      </c>
      <c r="N12" s="34">
        <v>330984</v>
      </c>
      <c r="O12" s="34">
        <v>236899</v>
      </c>
    </row>
    <row r="13" spans="3:15" x14ac:dyDescent="0.25">
      <c r="C13" t="s">
        <v>228</v>
      </c>
      <c r="D13" s="34">
        <v>32792</v>
      </c>
      <c r="E13" s="34">
        <v>27965</v>
      </c>
      <c r="F13" s="34">
        <v>23545</v>
      </c>
      <c r="G13" s="34">
        <v>31528</v>
      </c>
      <c r="H13" s="34">
        <v>37429</v>
      </c>
      <c r="I13" s="34">
        <v>64436</v>
      </c>
      <c r="J13" s="34">
        <v>93786</v>
      </c>
      <c r="K13" s="34">
        <v>88128</v>
      </c>
      <c r="L13" s="34">
        <v>78606</v>
      </c>
      <c r="M13" s="34">
        <v>130790</v>
      </c>
      <c r="N13" s="34">
        <v>101910</v>
      </c>
      <c r="O13" s="34">
        <v>110631</v>
      </c>
    </row>
    <row r="14" spans="3:15" x14ac:dyDescent="0.25">
      <c r="C14" t="s">
        <v>229</v>
      </c>
      <c r="D14">
        <v>0</v>
      </c>
      <c r="E14">
        <v>0</v>
      </c>
      <c r="F14">
        <v>0</v>
      </c>
      <c r="G14">
        <v>0</v>
      </c>
      <c r="H14">
        <v>0</v>
      </c>
      <c r="I14">
        <v>0</v>
      </c>
      <c r="J14">
        <v>0</v>
      </c>
      <c r="K14" s="34">
        <v>8314</v>
      </c>
      <c r="L14" s="34">
        <v>15669</v>
      </c>
      <c r="M14" s="34">
        <v>20426</v>
      </c>
      <c r="N14" s="34">
        <v>21520</v>
      </c>
      <c r="O14" s="34">
        <v>22045</v>
      </c>
    </row>
    <row r="15" spans="3:15" x14ac:dyDescent="0.25">
      <c r="C15" t="s">
        <v>230</v>
      </c>
      <c r="D15" s="34">
        <v>4950</v>
      </c>
      <c r="E15" s="34">
        <v>12121</v>
      </c>
      <c r="F15" s="34">
        <v>16212</v>
      </c>
      <c r="G15" s="34">
        <v>13662</v>
      </c>
      <c r="H15" s="34">
        <v>38029</v>
      </c>
      <c r="I15" s="34">
        <v>16933</v>
      </c>
      <c r="J15" s="34">
        <v>44877</v>
      </c>
      <c r="K15">
        <v>0</v>
      </c>
      <c r="L15">
        <v>0</v>
      </c>
      <c r="M15" s="34">
        <v>4425</v>
      </c>
      <c r="N15" s="34">
        <v>4577</v>
      </c>
    </row>
    <row r="16" spans="3:15" x14ac:dyDescent="0.25">
      <c r="C16" t="s">
        <v>231</v>
      </c>
      <c r="D16" s="34">
        <v>91395</v>
      </c>
      <c r="E16" s="34">
        <v>117736</v>
      </c>
      <c r="F16" s="34">
        <v>172727</v>
      </c>
      <c r="G16" s="34">
        <v>225618</v>
      </c>
      <c r="H16" s="34">
        <v>277924</v>
      </c>
      <c r="I16" s="34">
        <v>302804</v>
      </c>
      <c r="J16" s="34">
        <v>358716</v>
      </c>
      <c r="K16" s="34">
        <v>340931</v>
      </c>
      <c r="L16" s="34">
        <v>399979</v>
      </c>
      <c r="M16" s="34">
        <v>438346</v>
      </c>
      <c r="N16" s="34">
        <v>502576</v>
      </c>
      <c r="O16" s="34">
        <v>737346</v>
      </c>
    </row>
    <row r="17" spans="3:15" x14ac:dyDescent="0.25">
      <c r="C17" t="s">
        <v>232</v>
      </c>
      <c r="D17">
        <v>959</v>
      </c>
      <c r="E17" s="34">
        <v>3038</v>
      </c>
      <c r="F17" s="34">
        <v>3356</v>
      </c>
      <c r="G17" s="34">
        <v>2917</v>
      </c>
      <c r="H17" s="34">
        <v>3539</v>
      </c>
      <c r="I17" s="34">
        <v>8280</v>
      </c>
      <c r="J17" s="34">
        <v>12181</v>
      </c>
      <c r="K17" s="34">
        <v>99260</v>
      </c>
      <c r="L17" s="34">
        <v>109499</v>
      </c>
      <c r="M17" s="34">
        <v>113009</v>
      </c>
      <c r="N17" s="34">
        <v>132307</v>
      </c>
      <c r="O17" s="34">
        <v>166426</v>
      </c>
    </row>
    <row r="18" spans="3:15" x14ac:dyDescent="0.25">
      <c r="C18" t="s">
        <v>233</v>
      </c>
      <c r="D18" s="34">
        <v>60860</v>
      </c>
      <c r="E18" s="34">
        <v>59407</v>
      </c>
      <c r="F18" s="34">
        <v>60296</v>
      </c>
      <c r="G18" s="34">
        <v>76595</v>
      </c>
      <c r="H18" s="34">
        <v>106861</v>
      </c>
      <c r="I18" s="34">
        <v>108309</v>
      </c>
      <c r="J18" s="34">
        <v>96799</v>
      </c>
      <c r="K18" s="34">
        <v>108897</v>
      </c>
      <c r="L18" s="34">
        <v>159330</v>
      </c>
      <c r="M18" s="34">
        <v>147172</v>
      </c>
      <c r="N18" s="34">
        <v>178377</v>
      </c>
      <c r="O18" s="34">
        <v>186789</v>
      </c>
    </row>
    <row r="19" spans="3:15" x14ac:dyDescent="0.25">
      <c r="C19" t="s">
        <v>234</v>
      </c>
      <c r="D19" s="34">
        <v>29576</v>
      </c>
      <c r="E19" s="34">
        <v>55291</v>
      </c>
      <c r="F19" s="34">
        <v>109075</v>
      </c>
      <c r="G19" s="34">
        <v>146106</v>
      </c>
      <c r="H19" s="34">
        <v>167524</v>
      </c>
      <c r="I19" s="34">
        <v>186215</v>
      </c>
      <c r="J19" s="34">
        <v>249736</v>
      </c>
      <c r="K19" s="34">
        <v>132774</v>
      </c>
      <c r="L19" s="34">
        <v>131150</v>
      </c>
      <c r="M19" s="34">
        <v>178165</v>
      </c>
      <c r="N19" s="34">
        <v>191892</v>
      </c>
      <c r="O19" s="34">
        <v>384131</v>
      </c>
    </row>
    <row r="20" spans="3:15" ht="14.25" customHeight="1" x14ac:dyDescent="0.25">
      <c r="C20" s="2" t="s">
        <v>86</v>
      </c>
      <c r="D20" s="104">
        <v>428843</v>
      </c>
      <c r="E20" s="104">
        <v>504486</v>
      </c>
      <c r="F20" s="104">
        <v>598997</v>
      </c>
      <c r="G20" s="104">
        <v>706802</v>
      </c>
      <c r="H20" s="104">
        <v>811273</v>
      </c>
      <c r="I20" s="104">
        <v>997630</v>
      </c>
      <c r="J20" s="104">
        <v>1163015</v>
      </c>
      <c r="K20" s="104">
        <v>1320065</v>
      </c>
      <c r="L20" s="104">
        <v>1498622</v>
      </c>
      <c r="M20" s="104">
        <v>1605882</v>
      </c>
      <c r="N20" s="104">
        <v>1755048</v>
      </c>
      <c r="O20" s="104">
        <v>1950121</v>
      </c>
    </row>
    <row r="21" spans="3:15" ht="14.25" customHeight="1" x14ac:dyDescent="0.25">
      <c r="C21" s="2"/>
      <c r="D21" s="104"/>
      <c r="E21" s="104"/>
      <c r="F21" s="104"/>
      <c r="G21" s="104"/>
      <c r="H21" s="104"/>
      <c r="I21" s="104"/>
      <c r="J21" s="104"/>
      <c r="K21" s="104"/>
      <c r="L21" s="104"/>
      <c r="M21" s="104"/>
      <c r="N21" s="104"/>
      <c r="O21" s="104"/>
    </row>
    <row r="22" spans="3:15" x14ac:dyDescent="0.25">
      <c r="C22" s="2" t="s">
        <v>235</v>
      </c>
      <c r="D22" s="34">
        <v>141417</v>
      </c>
      <c r="E22" s="34">
        <v>156458</v>
      </c>
      <c r="F22" s="34">
        <v>184910</v>
      </c>
      <c r="G22" s="34">
        <v>198526</v>
      </c>
      <c r="H22" s="34">
        <v>403885</v>
      </c>
      <c r="I22" s="34">
        <v>398374</v>
      </c>
      <c r="J22" s="34">
        <v>532658</v>
      </c>
      <c r="K22" s="34">
        <v>541258</v>
      </c>
      <c r="L22" s="34">
        <v>627798</v>
      </c>
      <c r="M22" s="34">
        <v>724805</v>
      </c>
      <c r="N22" s="34">
        <v>779985</v>
      </c>
      <c r="O22" s="34">
        <v>1092041</v>
      </c>
    </row>
    <row r="23" spans="3:15" x14ac:dyDescent="0.25">
      <c r="C23" t="s">
        <v>236</v>
      </c>
      <c r="D23" s="34">
        <v>9378</v>
      </c>
      <c r="E23" s="34">
        <v>9859</v>
      </c>
      <c r="F23" s="34">
        <v>63734</v>
      </c>
      <c r="G23" s="34">
        <v>65973</v>
      </c>
      <c r="H23" s="34">
        <v>66765</v>
      </c>
      <c r="I23" s="34">
        <v>49371</v>
      </c>
      <c r="J23" s="34">
        <v>68743</v>
      </c>
      <c r="K23" s="34">
        <v>68768</v>
      </c>
      <c r="L23" s="34">
        <v>69855</v>
      </c>
      <c r="M23" s="34">
        <v>79697</v>
      </c>
      <c r="N23" s="34">
        <v>87287</v>
      </c>
    </row>
    <row r="24" spans="3:15" x14ac:dyDescent="0.25">
      <c r="C24" t="s">
        <v>237</v>
      </c>
      <c r="D24" s="34">
        <v>13239</v>
      </c>
      <c r="E24" s="34">
        <v>13967</v>
      </c>
      <c r="F24" s="34">
        <v>15283</v>
      </c>
      <c r="G24" s="34">
        <v>18813</v>
      </c>
      <c r="H24" s="34">
        <v>22194</v>
      </c>
      <c r="I24" s="34">
        <v>27672</v>
      </c>
      <c r="J24" s="34">
        <v>34380</v>
      </c>
      <c r="K24" s="34">
        <v>36781</v>
      </c>
      <c r="L24" s="34">
        <v>47561</v>
      </c>
      <c r="M24" s="34">
        <v>69747</v>
      </c>
      <c r="N24" s="34">
        <v>82062</v>
      </c>
    </row>
    <row r="25" spans="3:15" x14ac:dyDescent="0.25">
      <c r="C25" t="s">
        <v>238</v>
      </c>
      <c r="D25" s="34">
        <v>147313</v>
      </c>
      <c r="E25" s="34">
        <v>158698</v>
      </c>
      <c r="F25" s="34">
        <v>168888</v>
      </c>
      <c r="G25" s="34">
        <v>179326</v>
      </c>
      <c r="H25" s="34">
        <v>325183</v>
      </c>
      <c r="I25" s="34">
        <v>318853</v>
      </c>
      <c r="J25" s="34">
        <v>449770</v>
      </c>
      <c r="K25" s="34">
        <v>471201</v>
      </c>
      <c r="L25" s="34">
        <v>518865</v>
      </c>
      <c r="M25" s="34">
        <v>557687</v>
      </c>
      <c r="N25" s="34">
        <v>579067</v>
      </c>
    </row>
    <row r="26" spans="3:15" x14ac:dyDescent="0.25">
      <c r="C26" t="s">
        <v>239</v>
      </c>
      <c r="D26">
        <v>387</v>
      </c>
      <c r="E26">
        <v>397</v>
      </c>
      <c r="F26">
        <v>422</v>
      </c>
      <c r="G26" s="34">
        <v>3484</v>
      </c>
      <c r="H26" s="34">
        <v>5038</v>
      </c>
      <c r="I26">
        <v>417</v>
      </c>
      <c r="J26">
        <v>502</v>
      </c>
      <c r="K26">
        <v>515</v>
      </c>
      <c r="L26">
        <v>508</v>
      </c>
      <c r="M26">
        <v>518</v>
      </c>
      <c r="N26">
        <v>522</v>
      </c>
    </row>
    <row r="27" spans="3:15" x14ac:dyDescent="0.25">
      <c r="C27" t="s">
        <v>240</v>
      </c>
      <c r="D27">
        <v>0</v>
      </c>
      <c r="E27">
        <v>0</v>
      </c>
      <c r="F27">
        <v>0</v>
      </c>
      <c r="G27">
        <v>0</v>
      </c>
      <c r="H27">
        <v>0</v>
      </c>
      <c r="I27">
        <v>0</v>
      </c>
      <c r="J27">
        <v>0</v>
      </c>
      <c r="K27">
        <v>0</v>
      </c>
      <c r="L27" s="34">
        <v>32638</v>
      </c>
      <c r="M27" s="34">
        <v>45067</v>
      </c>
      <c r="N27" s="34">
        <v>59936</v>
      </c>
    </row>
    <row r="28" spans="3:15" x14ac:dyDescent="0.25">
      <c r="C28" t="s">
        <v>241</v>
      </c>
      <c r="D28" s="34">
        <v>10035</v>
      </c>
      <c r="E28" s="34">
        <v>4835</v>
      </c>
      <c r="F28" s="34">
        <v>6282</v>
      </c>
      <c r="G28" s="34">
        <v>7848</v>
      </c>
      <c r="H28" s="34">
        <v>10146</v>
      </c>
      <c r="I28" s="34">
        <v>21817</v>
      </c>
      <c r="J28" s="34">
        <v>31211</v>
      </c>
      <c r="K28" s="34">
        <v>38039</v>
      </c>
      <c r="L28" s="34">
        <v>24970</v>
      </c>
      <c r="M28" s="34">
        <v>38161</v>
      </c>
      <c r="N28" s="34">
        <v>43458</v>
      </c>
    </row>
    <row r="29" spans="3:15" x14ac:dyDescent="0.25">
      <c r="C29" t="s">
        <v>242</v>
      </c>
      <c r="D29">
        <v>582</v>
      </c>
      <c r="E29">
        <v>710</v>
      </c>
      <c r="F29">
        <v>777</v>
      </c>
      <c r="G29" s="34">
        <v>1155</v>
      </c>
      <c r="H29" s="34">
        <v>1199</v>
      </c>
      <c r="I29" s="34">
        <v>1240</v>
      </c>
      <c r="J29" s="34">
        <v>1411</v>
      </c>
      <c r="K29" s="34">
        <v>2336</v>
      </c>
      <c r="L29" s="34">
        <v>2530</v>
      </c>
      <c r="M29" s="34">
        <v>3667</v>
      </c>
      <c r="N29" s="34">
        <v>3745</v>
      </c>
    </row>
    <row r="30" spans="3:15" x14ac:dyDescent="0.25">
      <c r="C30" t="s">
        <v>243</v>
      </c>
      <c r="D30" s="34">
        <v>70668</v>
      </c>
      <c r="E30" s="34">
        <v>88103</v>
      </c>
      <c r="F30" s="34">
        <v>68660</v>
      </c>
      <c r="G30" s="34">
        <v>75351</v>
      </c>
      <c r="H30" s="34">
        <v>76599</v>
      </c>
      <c r="I30" s="34">
        <v>86765</v>
      </c>
      <c r="J30" s="34">
        <v>81462</v>
      </c>
      <c r="K30" s="34">
        <v>77353</v>
      </c>
      <c r="L30" s="34">
        <v>65970</v>
      </c>
      <c r="M30" s="34">
        <v>85032</v>
      </c>
      <c r="N30" s="34">
        <v>103453</v>
      </c>
      <c r="O30" s="34">
        <v>408939</v>
      </c>
    </row>
    <row r="31" spans="3:15" x14ac:dyDescent="0.25">
      <c r="C31" t="s">
        <v>244</v>
      </c>
      <c r="D31" s="34">
        <v>9417</v>
      </c>
      <c r="E31" s="34">
        <v>12297</v>
      </c>
      <c r="F31" s="34">
        <v>11453</v>
      </c>
      <c r="G31" s="34">
        <v>9343</v>
      </c>
      <c r="H31" s="34">
        <v>74160</v>
      </c>
      <c r="I31" s="34">
        <v>90387</v>
      </c>
      <c r="J31" s="34">
        <v>76299</v>
      </c>
      <c r="K31" s="34">
        <v>80819</v>
      </c>
      <c r="L31" s="34">
        <v>120717</v>
      </c>
      <c r="M31" s="34">
        <v>138426</v>
      </c>
      <c r="N31" s="34">
        <v>155052</v>
      </c>
    </row>
    <row r="32" spans="3:15" x14ac:dyDescent="0.25">
      <c r="C32" s="2" t="s">
        <v>245</v>
      </c>
      <c r="D32" s="104">
        <v>261019</v>
      </c>
      <c r="E32" s="104">
        <v>288866</v>
      </c>
      <c r="F32" s="104">
        <v>335499</v>
      </c>
      <c r="G32" s="104">
        <v>361293</v>
      </c>
      <c r="H32" s="104">
        <v>581284</v>
      </c>
      <c r="I32" s="104">
        <v>596522</v>
      </c>
      <c r="J32" s="104">
        <v>743778</v>
      </c>
      <c r="K32" s="104">
        <v>775812</v>
      </c>
      <c r="L32" s="104">
        <v>883614</v>
      </c>
      <c r="M32" s="104">
        <v>1018002</v>
      </c>
      <c r="N32" s="104">
        <v>1114582</v>
      </c>
    </row>
    <row r="33" spans="3:15" x14ac:dyDescent="0.25">
      <c r="C33" t="s">
        <v>246</v>
      </c>
      <c r="D33" s="34">
        <v>119602</v>
      </c>
      <c r="E33" s="34">
        <v>132408</v>
      </c>
      <c r="F33" s="34">
        <v>150589</v>
      </c>
      <c r="G33" s="34">
        <v>162767</v>
      </c>
      <c r="H33" s="34">
        <v>177399</v>
      </c>
      <c r="I33" s="34">
        <v>198148</v>
      </c>
      <c r="J33" s="34">
        <v>211120</v>
      </c>
      <c r="K33" s="34">
        <v>234554</v>
      </c>
      <c r="L33" s="34">
        <v>255816</v>
      </c>
      <c r="M33" s="34">
        <v>293197</v>
      </c>
      <c r="N33" s="34">
        <v>334597</v>
      </c>
    </row>
    <row r="34" spans="3:15" x14ac:dyDescent="0.25">
      <c r="C34" t="s">
        <v>247</v>
      </c>
      <c r="D34" s="34">
        <v>91494</v>
      </c>
      <c r="E34" s="34">
        <v>166462</v>
      </c>
      <c r="F34" s="34">
        <v>228697</v>
      </c>
      <c r="G34" s="34">
        <v>324837</v>
      </c>
      <c r="H34" s="34">
        <v>187022</v>
      </c>
      <c r="I34" s="34">
        <v>179463</v>
      </c>
      <c r="J34" s="34">
        <v>109106</v>
      </c>
      <c r="K34" s="34">
        <v>125953</v>
      </c>
      <c r="L34" s="34">
        <v>172506</v>
      </c>
      <c r="M34" s="34">
        <v>293752</v>
      </c>
      <c r="N34" s="34">
        <v>338855</v>
      </c>
      <c r="O34" s="34">
        <v>169710</v>
      </c>
    </row>
    <row r="35" spans="3:15" x14ac:dyDescent="0.25">
      <c r="C35" t="s">
        <v>16</v>
      </c>
      <c r="D35" s="34">
        <v>60602</v>
      </c>
      <c r="E35" s="34">
        <v>76451</v>
      </c>
      <c r="F35" s="34">
        <v>84015</v>
      </c>
      <c r="G35" s="34">
        <v>82899</v>
      </c>
      <c r="H35" s="34">
        <v>82862</v>
      </c>
      <c r="I35" s="34">
        <v>235635</v>
      </c>
      <c r="J35" s="34">
        <v>276767</v>
      </c>
      <c r="K35" s="34">
        <v>364828</v>
      </c>
      <c r="L35" s="34">
        <v>394264</v>
      </c>
      <c r="M35" s="34">
        <v>235560</v>
      </c>
      <c r="N35" s="34">
        <v>225672</v>
      </c>
      <c r="O35" s="34">
        <v>242381</v>
      </c>
    </row>
    <row r="36" spans="3:15" x14ac:dyDescent="0.25">
      <c r="D36" s="34"/>
      <c r="E36" s="34"/>
      <c r="F36" s="34"/>
      <c r="G36" s="34"/>
      <c r="H36" s="34"/>
      <c r="I36" s="34"/>
      <c r="J36" s="34"/>
      <c r="K36" s="34"/>
      <c r="L36" s="34"/>
      <c r="M36" s="34"/>
      <c r="N36" s="34"/>
      <c r="O36" s="34"/>
    </row>
    <row r="37" spans="3:15" x14ac:dyDescent="0.25">
      <c r="C37" s="2" t="s">
        <v>248</v>
      </c>
      <c r="D37" s="34">
        <v>135330</v>
      </c>
      <c r="E37" s="34">
        <v>105115</v>
      </c>
      <c r="F37" s="34">
        <v>101375</v>
      </c>
      <c r="G37" s="34">
        <v>100540</v>
      </c>
      <c r="H37" s="34">
        <v>137504</v>
      </c>
      <c r="I37" s="34">
        <v>184158</v>
      </c>
      <c r="J37" s="34">
        <v>244484</v>
      </c>
      <c r="K37" s="34">
        <v>288026</v>
      </c>
      <c r="L37" s="34">
        <v>304054</v>
      </c>
      <c r="M37" s="34">
        <v>351765</v>
      </c>
      <c r="N37" s="34">
        <v>410536</v>
      </c>
      <c r="O37" s="34">
        <v>445989</v>
      </c>
    </row>
    <row r="38" spans="3:15" x14ac:dyDescent="0.25">
      <c r="C38" t="s">
        <v>249</v>
      </c>
      <c r="D38" s="34">
        <v>56720</v>
      </c>
      <c r="E38" s="34">
        <v>53248</v>
      </c>
      <c r="F38" s="34">
        <v>46486</v>
      </c>
      <c r="G38" s="34">
        <v>48951</v>
      </c>
      <c r="H38" s="34">
        <v>60837</v>
      </c>
      <c r="I38" s="34">
        <v>67561</v>
      </c>
      <c r="J38" s="34">
        <v>73903</v>
      </c>
      <c r="K38" s="34">
        <v>81672</v>
      </c>
      <c r="L38" s="34">
        <v>107778</v>
      </c>
      <c r="M38" s="34">
        <v>140008</v>
      </c>
      <c r="N38" s="34">
        <v>152770</v>
      </c>
      <c r="O38" s="34">
        <v>146062</v>
      </c>
    </row>
    <row r="39" spans="3:15" x14ac:dyDescent="0.25">
      <c r="C39" t="s">
        <v>250</v>
      </c>
      <c r="D39" s="34">
        <v>9411</v>
      </c>
      <c r="E39" s="34">
        <v>5315</v>
      </c>
      <c r="F39" s="34">
        <v>4465</v>
      </c>
      <c r="G39" s="34">
        <v>8177</v>
      </c>
      <c r="H39" s="34">
        <v>17555</v>
      </c>
      <c r="I39" s="34">
        <v>30089</v>
      </c>
      <c r="J39" s="34">
        <v>19656</v>
      </c>
      <c r="K39" s="34">
        <v>19014</v>
      </c>
      <c r="L39" s="34">
        <v>23640</v>
      </c>
      <c r="M39" s="34">
        <v>28448</v>
      </c>
      <c r="N39" s="34">
        <v>31628</v>
      </c>
      <c r="O39" s="34">
        <v>42121</v>
      </c>
    </row>
    <row r="40" spans="3:15" x14ac:dyDescent="0.25">
      <c r="C40" t="s">
        <v>251</v>
      </c>
      <c r="D40" s="34">
        <v>37984</v>
      </c>
      <c r="E40" s="34">
        <v>12545</v>
      </c>
      <c r="F40" s="34">
        <v>11028</v>
      </c>
      <c r="G40" s="34">
        <v>3023</v>
      </c>
      <c r="H40" s="34">
        <v>4255</v>
      </c>
      <c r="I40" s="34">
        <v>11081</v>
      </c>
      <c r="J40" s="34">
        <v>30920</v>
      </c>
      <c r="K40" s="34">
        <v>17397</v>
      </c>
      <c r="L40" s="34">
        <v>36178</v>
      </c>
      <c r="M40" s="34">
        <v>68664</v>
      </c>
      <c r="N40" s="34">
        <v>97225</v>
      </c>
      <c r="O40" s="34">
        <v>106502</v>
      </c>
    </row>
    <row r="41" spans="3:15" x14ac:dyDescent="0.25">
      <c r="C41" t="s">
        <v>252</v>
      </c>
      <c r="D41">
        <v>0</v>
      </c>
      <c r="E41">
        <v>0</v>
      </c>
      <c r="F41">
        <v>841</v>
      </c>
      <c r="G41">
        <v>996</v>
      </c>
      <c r="H41" s="34">
        <v>2327</v>
      </c>
      <c r="I41">
        <v>545</v>
      </c>
      <c r="J41">
        <v>669</v>
      </c>
      <c r="K41">
        <v>65</v>
      </c>
      <c r="L41">
        <v>130</v>
      </c>
      <c r="M41">
        <v>176</v>
      </c>
      <c r="N41" s="34">
        <v>2517</v>
      </c>
      <c r="O41" s="34">
        <v>12012</v>
      </c>
    </row>
    <row r="42" spans="3:15" x14ac:dyDescent="0.25">
      <c r="C42" t="s">
        <v>253</v>
      </c>
      <c r="D42" s="34">
        <v>31215</v>
      </c>
      <c r="E42" s="34">
        <v>34007</v>
      </c>
      <c r="F42" s="34">
        <v>38555</v>
      </c>
      <c r="G42" s="34">
        <v>39393</v>
      </c>
      <c r="H42" s="34">
        <v>52530</v>
      </c>
      <c r="I42" s="34">
        <v>74882</v>
      </c>
      <c r="J42" s="34">
        <v>119336</v>
      </c>
      <c r="K42" s="34">
        <v>169878</v>
      </c>
      <c r="L42" s="34">
        <v>136328</v>
      </c>
      <c r="M42" s="34">
        <v>114469</v>
      </c>
      <c r="N42" s="34">
        <v>126396</v>
      </c>
      <c r="O42" s="34">
        <v>139292</v>
      </c>
    </row>
    <row r="43" spans="3:15" x14ac:dyDescent="0.25">
      <c r="C43" s="2" t="s">
        <v>87</v>
      </c>
      <c r="D43" s="104">
        <v>428843</v>
      </c>
      <c r="E43" s="104">
        <v>504486</v>
      </c>
      <c r="F43" s="104">
        <v>598997</v>
      </c>
      <c r="G43" s="104">
        <v>706802</v>
      </c>
      <c r="H43" s="104">
        <v>811273</v>
      </c>
      <c r="I43" s="104">
        <v>997630</v>
      </c>
      <c r="J43" s="104">
        <v>1163015</v>
      </c>
      <c r="K43" s="104">
        <v>1320065</v>
      </c>
      <c r="L43" s="104">
        <v>1498622</v>
      </c>
      <c r="M43" s="104">
        <v>1605882</v>
      </c>
      <c r="N43" s="104">
        <v>1755048</v>
      </c>
      <c r="O43" s="104">
        <v>1950121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9B09-345B-44D2-9633-F559797B13A2}">
  <dimension ref="B1:T263"/>
  <sheetViews>
    <sheetView workbookViewId="0">
      <selection activeCell="R13" sqref="R13"/>
    </sheetView>
  </sheetViews>
  <sheetFormatPr defaultRowHeight="15" x14ac:dyDescent="0.25"/>
  <cols>
    <col min="3" max="3" width="15.42578125" bestFit="1" customWidth="1"/>
    <col min="4" max="4" width="8" bestFit="1" customWidth="1"/>
    <col min="5" max="5" width="13.7109375" bestFit="1" customWidth="1"/>
    <col min="6" max="6" width="10.7109375" bestFit="1" customWidth="1"/>
    <col min="13" max="13" width="9.7109375" bestFit="1" customWidth="1"/>
  </cols>
  <sheetData>
    <row r="1" spans="2:20" x14ac:dyDescent="0.25">
      <c r="B1" s="11"/>
      <c r="C1" s="11"/>
      <c r="D1" s="11"/>
      <c r="E1" s="11"/>
      <c r="F1" s="11"/>
      <c r="G1" s="11"/>
      <c r="H1" s="11"/>
      <c r="I1" s="11"/>
      <c r="J1" s="11"/>
      <c r="K1" s="11"/>
    </row>
    <row r="2" spans="2:20" ht="15.75" thickBot="1" x14ac:dyDescent="0.3">
      <c r="B2" s="320" t="str">
        <f>'Data Sheet'!B1</f>
        <v>RELIANCE INDUSTRIES LTD</v>
      </c>
      <c r="C2" s="320"/>
      <c r="D2" s="321"/>
      <c r="E2" s="321"/>
      <c r="F2" s="321"/>
      <c r="G2" s="11"/>
      <c r="H2" s="11"/>
      <c r="I2" s="11"/>
      <c r="J2" s="11"/>
      <c r="K2" s="11"/>
      <c r="L2" s="61" t="s">
        <v>157</v>
      </c>
      <c r="M2" t="s">
        <v>192</v>
      </c>
      <c r="O2" t="s">
        <v>193</v>
      </c>
      <c r="Q2" t="s">
        <v>194</v>
      </c>
      <c r="S2" t="s">
        <v>195</v>
      </c>
    </row>
    <row r="3" spans="2:20" x14ac:dyDescent="0.25">
      <c r="B3" s="321"/>
      <c r="C3" s="321"/>
      <c r="D3" s="321"/>
      <c r="E3" s="321"/>
      <c r="F3" s="321"/>
      <c r="G3" s="11"/>
      <c r="H3" s="11"/>
      <c r="I3" s="11"/>
      <c r="J3" s="11"/>
      <c r="K3" s="11"/>
      <c r="L3" s="59">
        <v>45872</v>
      </c>
      <c r="M3" s="32">
        <v>24596.15</v>
      </c>
      <c r="O3">
        <v>318.3</v>
      </c>
      <c r="Q3">
        <v>412.15</v>
      </c>
      <c r="S3">
        <v>126.45</v>
      </c>
    </row>
    <row r="4" spans="2:20" ht="15.75" x14ac:dyDescent="0.25">
      <c r="B4" s="314" t="s">
        <v>63</v>
      </c>
      <c r="C4" s="314"/>
      <c r="D4" s="314"/>
      <c r="E4" s="314"/>
      <c r="F4" s="314"/>
      <c r="G4" s="11"/>
      <c r="H4" s="11"/>
      <c r="I4" s="11"/>
      <c r="J4" s="11"/>
      <c r="K4" s="11"/>
      <c r="L4" s="59">
        <v>45865</v>
      </c>
      <c r="M4" s="32">
        <v>24565.35</v>
      </c>
      <c r="N4" s="69">
        <f>M4/M3-1</f>
        <v>-1.2522284991758337E-3</v>
      </c>
      <c r="O4">
        <v>317.85000000000002</v>
      </c>
      <c r="P4" s="69">
        <f>O4/O3-1</f>
        <v>-1.413760603204528E-3</v>
      </c>
      <c r="Q4">
        <v>403.8</v>
      </c>
      <c r="R4" s="69">
        <f>Q4/Q3-1</f>
        <v>-2.0259614218124389E-2</v>
      </c>
      <c r="S4">
        <v>123.55</v>
      </c>
      <c r="T4" s="69">
        <f>S4/S3-1</f>
        <v>-2.2933965994464289E-2</v>
      </c>
    </row>
    <row r="5" spans="2:20" x14ac:dyDescent="0.25">
      <c r="L5" s="59">
        <v>45858</v>
      </c>
      <c r="M5" s="32">
        <v>24837</v>
      </c>
      <c r="N5" s="69">
        <f t="shared" ref="N5:P68" si="0">M5/M4-1</f>
        <v>1.1058258889045103E-2</v>
      </c>
      <c r="O5">
        <v>332.9</v>
      </c>
      <c r="P5" s="69">
        <f t="shared" si="0"/>
        <v>4.734937863772215E-2</v>
      </c>
      <c r="Q5">
        <v>421.8</v>
      </c>
      <c r="R5" s="69">
        <f t="shared" ref="R5" si="1">Q5/Q4-1</f>
        <v>4.457652303120363E-2</v>
      </c>
      <c r="S5">
        <v>140.82</v>
      </c>
      <c r="T5" s="69">
        <f t="shared" ref="T5" si="2">S5/S4-1</f>
        <v>0.13978146499392952</v>
      </c>
    </row>
    <row r="6" spans="2:20" x14ac:dyDescent="0.25">
      <c r="B6" t="s">
        <v>180</v>
      </c>
      <c r="C6" t="s">
        <v>170</v>
      </c>
      <c r="D6" t="s">
        <v>181</v>
      </c>
      <c r="E6" t="s">
        <v>182</v>
      </c>
      <c r="F6" t="s">
        <v>183</v>
      </c>
      <c r="G6" t="s">
        <v>184</v>
      </c>
      <c r="H6" t="s">
        <v>191</v>
      </c>
      <c r="L6" s="59">
        <v>45851</v>
      </c>
      <c r="M6" s="32">
        <v>24968.400000000001</v>
      </c>
      <c r="N6" s="69">
        <f t="shared" si="0"/>
        <v>5.2904940210170004E-3</v>
      </c>
      <c r="O6">
        <v>343.5</v>
      </c>
      <c r="P6" s="69">
        <f t="shared" si="0"/>
        <v>3.184139381195572E-2</v>
      </c>
      <c r="Q6">
        <v>430.6</v>
      </c>
      <c r="R6" s="69">
        <f t="shared" ref="R6" si="3">Q6/Q5-1</f>
        <v>2.0862968231389223E-2</v>
      </c>
      <c r="S6">
        <v>149.21</v>
      </c>
      <c r="T6" s="69">
        <f t="shared" ref="T6" si="4">S6/S5-1</f>
        <v>5.9579605169720384E-2</v>
      </c>
    </row>
    <row r="7" spans="2:20" x14ac:dyDescent="0.25">
      <c r="B7">
        <v>1</v>
      </c>
      <c r="C7" t="s">
        <v>185</v>
      </c>
      <c r="D7">
        <v>1374.95</v>
      </c>
      <c r="E7">
        <v>1860646.8</v>
      </c>
      <c r="F7">
        <v>369575</v>
      </c>
      <c r="G7">
        <v>0.44</v>
      </c>
      <c r="L7" s="59">
        <v>45844</v>
      </c>
      <c r="M7" s="32">
        <v>25149.85</v>
      </c>
      <c r="N7" s="69">
        <f t="shared" si="0"/>
        <v>7.267185722753533E-3</v>
      </c>
      <c r="O7">
        <v>344.85</v>
      </c>
      <c r="P7" s="69">
        <f t="shared" si="0"/>
        <v>3.9301310043668991E-3</v>
      </c>
      <c r="Q7">
        <v>435.9</v>
      </c>
      <c r="R7" s="69">
        <f t="shared" ref="R7" si="5">Q7/Q6-1</f>
        <v>1.2308406874129041E-2</v>
      </c>
      <c r="S7">
        <v>142.44</v>
      </c>
      <c r="T7" s="69">
        <f t="shared" ref="T7" si="6">S7/S6-1</f>
        <v>-4.5372294082166142E-2</v>
      </c>
    </row>
    <row r="8" spans="2:20" x14ac:dyDescent="0.25">
      <c r="B8">
        <v>2</v>
      </c>
      <c r="C8" t="s">
        <v>186</v>
      </c>
      <c r="D8">
        <v>141.44999999999999</v>
      </c>
      <c r="E8">
        <v>199744.9</v>
      </c>
      <c r="F8">
        <v>152270.56</v>
      </c>
      <c r="G8">
        <v>0.82</v>
      </c>
      <c r="H8" s="50">
        <v>0.76</v>
      </c>
      <c r="L8" s="59">
        <v>45837</v>
      </c>
      <c r="M8" s="32">
        <v>25461</v>
      </c>
      <c r="N8" s="69">
        <f t="shared" si="0"/>
        <v>1.2371843172026997E-2</v>
      </c>
      <c r="O8">
        <v>346.2</v>
      </c>
      <c r="P8" s="69">
        <f t="shared" si="0"/>
        <v>3.9147455415398102E-3</v>
      </c>
      <c r="Q8">
        <v>444.6</v>
      </c>
      <c r="R8" s="69">
        <f t="shared" ref="R8" si="7">Q8/Q7-1</f>
        <v>1.9958706125258185E-2</v>
      </c>
      <c r="S8">
        <v>150.87</v>
      </c>
      <c r="T8" s="69">
        <f t="shared" ref="T8" si="8">S8/S7-1</f>
        <v>5.9182813816343716E-2</v>
      </c>
    </row>
    <row r="9" spans="2:20" x14ac:dyDescent="0.25">
      <c r="B9">
        <v>3</v>
      </c>
      <c r="C9" t="s">
        <v>187</v>
      </c>
      <c r="D9">
        <v>319.10000000000002</v>
      </c>
      <c r="E9">
        <v>138441.71</v>
      </c>
      <c r="F9">
        <v>61100.57</v>
      </c>
      <c r="G9">
        <v>0.75</v>
      </c>
      <c r="H9" s="50">
        <f>SLOPE(P4:P263,$N$4:$N$263)</f>
        <v>0.9752925421854024</v>
      </c>
      <c r="L9" s="59">
        <v>45830</v>
      </c>
      <c r="M9" s="32">
        <v>25637.8</v>
      </c>
      <c r="N9" s="69">
        <f t="shared" si="0"/>
        <v>6.9439534975059836E-3</v>
      </c>
      <c r="O9">
        <v>333</v>
      </c>
      <c r="P9" s="69">
        <f t="shared" si="0"/>
        <v>-3.8128249566724448E-2</v>
      </c>
      <c r="Q9">
        <v>439</v>
      </c>
      <c r="R9" s="69">
        <f t="shared" ref="R9" si="9">Q9/Q8-1</f>
        <v>-1.2595591542959972E-2</v>
      </c>
      <c r="S9">
        <v>143.41</v>
      </c>
      <c r="T9" s="69">
        <f t="shared" ref="T9" si="10">S9/S8-1</f>
        <v>-4.9446543381719388E-2</v>
      </c>
    </row>
    <row r="10" spans="2:20" x14ac:dyDescent="0.25">
      <c r="B10">
        <v>4</v>
      </c>
      <c r="C10" t="s">
        <v>188</v>
      </c>
      <c r="D10">
        <v>412.2</v>
      </c>
      <c r="E10">
        <v>87708.83</v>
      </c>
      <c r="F10">
        <v>70558.22</v>
      </c>
      <c r="G10">
        <v>1.38</v>
      </c>
      <c r="H10" s="50">
        <f>SLOPE(R4:R263,$N$4:$N$263)</f>
        <v>1.1093464507082682</v>
      </c>
      <c r="L10" s="59">
        <v>45823</v>
      </c>
      <c r="M10" s="32">
        <v>25112.400000000001</v>
      </c>
      <c r="N10" s="69">
        <f t="shared" si="0"/>
        <v>-2.0493178041797622E-2</v>
      </c>
      <c r="O10">
        <v>313.5</v>
      </c>
      <c r="P10" s="69">
        <f t="shared" si="0"/>
        <v>-5.8558558558558516E-2</v>
      </c>
      <c r="Q10">
        <v>392.25</v>
      </c>
      <c r="R10" s="69">
        <f t="shared" ref="R10" si="11">Q10/Q9-1</f>
        <v>-0.10649202733485197</v>
      </c>
      <c r="S10">
        <v>135.05000000000001</v>
      </c>
      <c r="T10" s="69">
        <f t="shared" ref="T10" si="12">S10/S9-1</f>
        <v>-5.8294400669409274E-2</v>
      </c>
    </row>
    <row r="11" spans="2:20" x14ac:dyDescent="0.25">
      <c r="B11">
        <v>5</v>
      </c>
      <c r="C11" t="s">
        <v>189</v>
      </c>
      <c r="D11">
        <v>126.75</v>
      </c>
      <c r="E11">
        <v>22214.19</v>
      </c>
      <c r="F11">
        <v>13143.39</v>
      </c>
      <c r="G11">
        <v>1.01</v>
      </c>
      <c r="H11" s="50">
        <f>SLOPE(T4:T263,$N$4:$N$263)</f>
        <v>0.97094623859045159</v>
      </c>
      <c r="L11" s="59">
        <v>45816</v>
      </c>
      <c r="M11" s="32">
        <v>24718.6</v>
      </c>
      <c r="N11" s="69">
        <f t="shared" si="0"/>
        <v>-1.568149599401103E-2</v>
      </c>
      <c r="O11">
        <v>312.3</v>
      </c>
      <c r="P11" s="69">
        <f t="shared" si="0"/>
        <v>-3.82775119617218E-3</v>
      </c>
      <c r="Q11">
        <v>386.25</v>
      </c>
      <c r="R11" s="69">
        <f t="shared" ref="R11" si="13">Q11/Q10-1</f>
        <v>-1.5296367112810683E-2</v>
      </c>
      <c r="S11">
        <v>138.91999999999999</v>
      </c>
      <c r="T11" s="69">
        <f t="shared" ref="T11" si="14">S11/S10-1</f>
        <v>2.8656053313587337E-2</v>
      </c>
    </row>
    <row r="12" spans="2:20" x14ac:dyDescent="0.25">
      <c r="L12" s="59">
        <v>45809</v>
      </c>
      <c r="M12" s="32">
        <v>25003.05</v>
      </c>
      <c r="N12" s="69">
        <f t="shared" si="0"/>
        <v>1.1507528743537332E-2</v>
      </c>
      <c r="O12">
        <v>316.7</v>
      </c>
      <c r="P12" s="69">
        <f t="shared" si="0"/>
        <v>1.4089016970861179E-2</v>
      </c>
      <c r="Q12">
        <v>407.05</v>
      </c>
      <c r="R12" s="69">
        <f t="shared" ref="R12" si="15">Q12/Q11-1</f>
        <v>5.3851132686084213E-2</v>
      </c>
      <c r="S12">
        <v>141.07</v>
      </c>
      <c r="T12" s="69">
        <f t="shared" ref="T12" si="16">S12/S11-1</f>
        <v>1.5476533256550518E-2</v>
      </c>
    </row>
    <row r="13" spans="2:20" x14ac:dyDescent="0.25">
      <c r="L13" s="59">
        <v>45802</v>
      </c>
      <c r="M13" s="32">
        <v>24750.7</v>
      </c>
      <c r="N13" s="69">
        <f t="shared" si="0"/>
        <v>-1.0092768682220754E-2</v>
      </c>
      <c r="O13">
        <v>318.39999999999998</v>
      </c>
      <c r="P13" s="69">
        <f t="shared" si="0"/>
        <v>5.3678560151562138E-3</v>
      </c>
      <c r="Q13">
        <v>411.05</v>
      </c>
      <c r="R13" s="69">
        <f t="shared" ref="R13" si="17">Q13/Q12-1</f>
        <v>9.8268026041026246E-3</v>
      </c>
      <c r="S13">
        <v>144.04</v>
      </c>
      <c r="T13" s="69">
        <f t="shared" ref="T13" si="18">S13/S12-1</f>
        <v>2.1053377755724023E-2</v>
      </c>
    </row>
    <row r="14" spans="2:20" x14ac:dyDescent="0.25">
      <c r="L14" s="59">
        <v>45795</v>
      </c>
      <c r="M14" s="32">
        <v>24853.15</v>
      </c>
      <c r="N14" s="69">
        <f t="shared" si="0"/>
        <v>4.139276868937003E-3</v>
      </c>
      <c r="O14">
        <v>318.89999999999998</v>
      </c>
      <c r="P14" s="69">
        <f t="shared" si="0"/>
        <v>1.570351758793942E-3</v>
      </c>
      <c r="Q14">
        <v>408.1</v>
      </c>
      <c r="R14" s="69">
        <f t="shared" ref="R14" si="19">Q14/Q13-1</f>
        <v>-7.1767424887483333E-3</v>
      </c>
      <c r="S14">
        <v>141.24</v>
      </c>
      <c r="T14" s="69">
        <f t="shared" ref="T14" si="20">S14/S13-1</f>
        <v>-1.9439044709802733E-2</v>
      </c>
    </row>
    <row r="15" spans="2:20" x14ac:dyDescent="0.25">
      <c r="C15" s="318" t="s">
        <v>162</v>
      </c>
      <c r="D15" s="318"/>
      <c r="E15" s="318"/>
      <c r="L15" s="59">
        <v>45788</v>
      </c>
      <c r="M15" s="32">
        <v>25019.8</v>
      </c>
      <c r="N15" s="69">
        <f t="shared" si="0"/>
        <v>6.705387445856914E-3</v>
      </c>
      <c r="O15">
        <v>320.10000000000002</v>
      </c>
      <c r="P15" s="69">
        <f t="shared" si="0"/>
        <v>3.7629350893697566E-3</v>
      </c>
      <c r="Q15">
        <v>410.05</v>
      </c>
      <c r="R15" s="69">
        <f t="shared" ref="R15" si="21">Q15/Q14-1</f>
        <v>4.7782406272971478E-3</v>
      </c>
      <c r="S15">
        <v>138</v>
      </c>
      <c r="T15" s="69">
        <f t="shared" ref="T15" si="22">S15/S14-1</f>
        <v>-2.2939677145284665E-2</v>
      </c>
    </row>
    <row r="16" spans="2:20" x14ac:dyDescent="0.25">
      <c r="L16" s="59">
        <v>45781</v>
      </c>
      <c r="M16" s="32">
        <v>24008</v>
      </c>
      <c r="N16" s="69">
        <f t="shared" si="0"/>
        <v>-4.0439971542538311E-2</v>
      </c>
      <c r="O16">
        <v>306.85000000000002</v>
      </c>
      <c r="P16" s="69">
        <f t="shared" si="0"/>
        <v>-4.1393314589190822E-2</v>
      </c>
      <c r="Q16">
        <v>386.25</v>
      </c>
      <c r="R16" s="69">
        <f t="shared" ref="R16" si="23">Q16/Q15-1</f>
        <v>-5.8041702231435233E-2</v>
      </c>
      <c r="S16">
        <v>125.39</v>
      </c>
      <c r="T16" s="69">
        <f t="shared" ref="T16" si="24">S16/S15-1</f>
        <v>-9.1376811594202856E-2</v>
      </c>
    </row>
    <row r="17" spans="3:20" x14ac:dyDescent="0.25">
      <c r="C17" s="2" t="s">
        <v>163</v>
      </c>
      <c r="E17" s="50">
        <f>H10</f>
        <v>1.1093464507082682</v>
      </c>
      <c r="L17" s="59">
        <v>45774</v>
      </c>
      <c r="M17" s="32">
        <v>24346.7</v>
      </c>
      <c r="N17" s="69">
        <f t="shared" si="0"/>
        <v>1.4107797400866318E-2</v>
      </c>
      <c r="O17">
        <v>311.14999999999998</v>
      </c>
      <c r="P17" s="69">
        <f t="shared" si="0"/>
        <v>1.4013361577317696E-2</v>
      </c>
      <c r="Q17">
        <v>385.05</v>
      </c>
      <c r="R17" s="69">
        <f t="shared" ref="R17" si="25">Q17/Q16-1</f>
        <v>-3.1067961165047731E-3</v>
      </c>
      <c r="S17">
        <v>134</v>
      </c>
      <c r="T17" s="69">
        <f t="shared" ref="T17" si="26">S17/S16-1</f>
        <v>6.8665762820001586E-2</v>
      </c>
    </row>
    <row r="18" spans="3:20" x14ac:dyDescent="0.25">
      <c r="C18" s="2" t="s">
        <v>164</v>
      </c>
      <c r="E18" s="63">
        <v>0.75</v>
      </c>
      <c r="L18" s="59">
        <v>45767</v>
      </c>
      <c r="M18" s="32">
        <v>24039.35</v>
      </c>
      <c r="N18" s="69">
        <f t="shared" si="0"/>
        <v>-1.2623887426222113E-2</v>
      </c>
      <c r="O18">
        <v>295.7</v>
      </c>
      <c r="P18" s="69">
        <f t="shared" si="0"/>
        <v>-4.9654507472280174E-2</v>
      </c>
      <c r="Q18">
        <v>380.7</v>
      </c>
      <c r="R18" s="69">
        <f t="shared" ref="R18" si="27">Q18/Q17-1</f>
        <v>-1.129723412543826E-2</v>
      </c>
      <c r="S18">
        <v>137.11000000000001</v>
      </c>
      <c r="T18" s="69">
        <f t="shared" ref="T18" si="28">S18/S17-1</f>
        <v>2.3208955223880778E-2</v>
      </c>
    </row>
    <row r="19" spans="3:20" x14ac:dyDescent="0.25">
      <c r="C19" s="2"/>
      <c r="L19" s="59">
        <v>45760</v>
      </c>
      <c r="M19" s="32">
        <v>23851.65</v>
      </c>
      <c r="N19" s="69">
        <f t="shared" si="0"/>
        <v>-7.8080314151587338E-3</v>
      </c>
      <c r="O19">
        <v>298.35000000000002</v>
      </c>
      <c r="P19" s="69">
        <f t="shared" si="0"/>
        <v>8.9617855935071322E-3</v>
      </c>
      <c r="Q19">
        <v>387.7</v>
      </c>
      <c r="R19" s="69">
        <f t="shared" ref="R19" si="29">Q19/Q18-1</f>
        <v>1.8387181507748984E-2</v>
      </c>
      <c r="S19">
        <v>136.21</v>
      </c>
      <c r="T19" s="69">
        <f t="shared" ref="T19" si="30">S19/S18-1</f>
        <v>-6.5640726424039952E-3</v>
      </c>
    </row>
    <row r="20" spans="3:20" x14ac:dyDescent="0.25">
      <c r="C20" s="2" t="s">
        <v>165</v>
      </c>
      <c r="E20" s="50">
        <v>1</v>
      </c>
      <c r="L20" s="59">
        <v>45753</v>
      </c>
      <c r="M20" s="32">
        <v>22828.55</v>
      </c>
      <c r="N20" s="69">
        <f t="shared" si="0"/>
        <v>-4.2894307102443685E-2</v>
      </c>
      <c r="O20">
        <v>293.2</v>
      </c>
      <c r="P20" s="69">
        <f t="shared" si="0"/>
        <v>-1.7261605496899701E-2</v>
      </c>
      <c r="Q20">
        <v>382.2</v>
      </c>
      <c r="R20" s="69">
        <f t="shared" ref="R20" si="31">Q20/Q19-1</f>
        <v>-1.4186226463760665E-2</v>
      </c>
      <c r="S20">
        <v>130.81</v>
      </c>
      <c r="T20" s="69">
        <f t="shared" ref="T20" si="32">S20/S19-1</f>
        <v>-3.9644666324058497E-2</v>
      </c>
    </row>
    <row r="21" spans="3:20" x14ac:dyDescent="0.25">
      <c r="C21" s="2" t="s">
        <v>166</v>
      </c>
      <c r="E21" s="63">
        <v>0.25</v>
      </c>
      <c r="L21" s="59">
        <v>45746</v>
      </c>
      <c r="M21" s="32">
        <v>22904.45</v>
      </c>
      <c r="N21" s="69">
        <f t="shared" si="0"/>
        <v>3.3247840971064591E-3</v>
      </c>
      <c r="O21">
        <v>279.45</v>
      </c>
      <c r="P21" s="69">
        <f t="shared" si="0"/>
        <v>-4.6896316507503366E-2</v>
      </c>
      <c r="Q21">
        <v>358.35</v>
      </c>
      <c r="R21" s="69">
        <f t="shared" ref="R21" si="33">Q21/Q20-1</f>
        <v>-6.2401883830455196E-2</v>
      </c>
      <c r="S21">
        <v>134.9</v>
      </c>
      <c r="T21" s="69">
        <f t="shared" ref="T21" si="34">S21/S20-1</f>
        <v>3.1266722727620211E-2</v>
      </c>
    </row>
    <row r="22" spans="3:20" x14ac:dyDescent="0.25">
      <c r="L22" s="59">
        <v>45739</v>
      </c>
      <c r="M22" s="32">
        <v>23519.35</v>
      </c>
      <c r="N22" s="69">
        <f t="shared" si="0"/>
        <v>2.6846311524616251E-2</v>
      </c>
      <c r="O22">
        <v>278.47000000000003</v>
      </c>
      <c r="P22" s="69">
        <f t="shared" si="0"/>
        <v>-3.5068885310429732E-3</v>
      </c>
      <c r="Q22">
        <v>360.35</v>
      </c>
      <c r="R22" s="69">
        <f t="shared" ref="R22" si="35">Q22/Q21-1</f>
        <v>5.5811357611272872E-3</v>
      </c>
      <c r="S22">
        <v>134.44</v>
      </c>
      <c r="T22" s="69">
        <f t="shared" ref="T22" si="36">S22/S21-1</f>
        <v>-3.4099332839140351E-3</v>
      </c>
    </row>
    <row r="23" spans="3:20" x14ac:dyDescent="0.25">
      <c r="C23" s="64" t="s">
        <v>167</v>
      </c>
      <c r="D23" s="65"/>
      <c r="E23" s="66">
        <f>(E17*E18)+(E20*E21)</f>
        <v>1.0820098380312011</v>
      </c>
      <c r="L23" s="59">
        <v>45732</v>
      </c>
      <c r="M23" s="32">
        <v>23350.400000000001</v>
      </c>
      <c r="N23" s="69">
        <f t="shared" si="0"/>
        <v>-7.1834468214468927E-3</v>
      </c>
      <c r="O23">
        <v>279.66000000000003</v>
      </c>
      <c r="P23" s="69">
        <f t="shared" si="0"/>
        <v>4.2733508097820838E-3</v>
      </c>
      <c r="Q23">
        <v>356.95</v>
      </c>
      <c r="R23" s="69">
        <f t="shared" ref="R23" si="37">Q23/Q22-1</f>
        <v>-9.4352712640489722E-3</v>
      </c>
      <c r="S23">
        <v>135.53</v>
      </c>
      <c r="T23" s="69">
        <f t="shared" ref="T23" si="38">S23/S22-1</f>
        <v>8.1077060398691003E-3</v>
      </c>
    </row>
    <row r="24" spans="3:20" x14ac:dyDescent="0.25">
      <c r="L24" s="59">
        <v>45725</v>
      </c>
      <c r="M24" s="32">
        <v>22397.200000000001</v>
      </c>
      <c r="N24" s="69">
        <f t="shared" si="0"/>
        <v>-4.0821570508428162E-2</v>
      </c>
      <c r="O24">
        <v>264.41000000000003</v>
      </c>
      <c r="P24" s="69">
        <f t="shared" si="0"/>
        <v>-5.4530501323035163E-2</v>
      </c>
      <c r="Q24">
        <v>323.7</v>
      </c>
      <c r="R24" s="69">
        <f t="shared" ref="R24" si="39">Q24/Q23-1</f>
        <v>-9.3150301162627791E-2</v>
      </c>
      <c r="S24">
        <v>119.33</v>
      </c>
      <c r="T24" s="69">
        <f t="shared" ref="T24" si="40">S24/S23-1</f>
        <v>-0.11953073120342361</v>
      </c>
    </row>
    <row r="25" spans="3:20" x14ac:dyDescent="0.25">
      <c r="C25" t="s">
        <v>187</v>
      </c>
      <c r="E25" s="66">
        <f>(E19*E20)+(E22*E23)</f>
        <v>0</v>
      </c>
      <c r="L25" s="59">
        <v>45718</v>
      </c>
      <c r="M25" s="32">
        <v>22552.5</v>
      </c>
      <c r="N25" s="69">
        <f t="shared" si="0"/>
        <v>6.9339024520922443E-3</v>
      </c>
      <c r="O25">
        <v>261.26</v>
      </c>
      <c r="P25" s="69">
        <f t="shared" si="0"/>
        <v>-1.1913316440376853E-2</v>
      </c>
      <c r="Q25">
        <v>332.45</v>
      </c>
      <c r="R25" s="69">
        <f t="shared" ref="R25" si="41">Q25/Q24-1</f>
        <v>2.7031201729996956E-2</v>
      </c>
      <c r="S25">
        <v>113.67</v>
      </c>
      <c r="T25" s="69">
        <f t="shared" ref="T25" si="42">S25/S24-1</f>
        <v>-4.7431492499790506E-2</v>
      </c>
    </row>
    <row r="26" spans="3:20" x14ac:dyDescent="0.25">
      <c r="C26" t="s">
        <v>188</v>
      </c>
      <c r="L26" s="59">
        <v>45711</v>
      </c>
      <c r="M26" s="32">
        <v>22124.7</v>
      </c>
      <c r="N26" s="69">
        <f t="shared" si="0"/>
        <v>-1.8969072164948475E-2</v>
      </c>
      <c r="O26">
        <v>237.3</v>
      </c>
      <c r="P26" s="69">
        <f t="shared" si="0"/>
        <v>-9.1709408252315661E-2</v>
      </c>
      <c r="Q26">
        <v>293.75</v>
      </c>
      <c r="R26" s="69">
        <f t="shared" ref="R26" si="43">Q26/Q25-1</f>
        <v>-0.11640848247856816</v>
      </c>
      <c r="S26">
        <v>105.8</v>
      </c>
      <c r="T26" s="69">
        <f t="shared" ref="T26" si="44">S26/S25-1</f>
        <v>-6.9235506290138193E-2</v>
      </c>
    </row>
    <row r="27" spans="3:20" x14ac:dyDescent="0.25">
      <c r="C27" t="s">
        <v>189</v>
      </c>
      <c r="L27" s="59">
        <v>45704</v>
      </c>
      <c r="M27" s="32">
        <v>22795.9</v>
      </c>
      <c r="N27" s="69">
        <f t="shared" si="0"/>
        <v>3.0337134514818231E-2</v>
      </c>
      <c r="O27">
        <v>251.3</v>
      </c>
      <c r="P27" s="69">
        <f t="shared" si="0"/>
        <v>5.8997050147492569E-2</v>
      </c>
      <c r="Q27">
        <v>323</v>
      </c>
      <c r="R27" s="69">
        <f t="shared" ref="R27" si="45">Q27/Q26-1</f>
        <v>9.9574468085106282E-2</v>
      </c>
      <c r="S27">
        <v>115.63</v>
      </c>
      <c r="T27" s="69">
        <f t="shared" ref="T27" si="46">S27/S26-1</f>
        <v>9.2911153119092704E-2</v>
      </c>
    </row>
    <row r="28" spans="3:20" x14ac:dyDescent="0.25">
      <c r="L28" s="59">
        <v>45697</v>
      </c>
      <c r="M28" s="32">
        <v>22929.25</v>
      </c>
      <c r="N28" s="69">
        <f t="shared" si="0"/>
        <v>5.8497361367613188E-3</v>
      </c>
      <c r="O28">
        <v>251</v>
      </c>
      <c r="P28" s="69">
        <f t="shared" si="0"/>
        <v>-1.1937922801432688E-3</v>
      </c>
      <c r="Q28">
        <v>312.35000000000002</v>
      </c>
      <c r="R28" s="69">
        <f t="shared" ref="R28" si="47">Q28/Q27-1</f>
        <v>-3.2972136222910176E-2</v>
      </c>
      <c r="S28">
        <v>110.67</v>
      </c>
      <c r="T28" s="69">
        <f t="shared" ref="T28" si="48">S28/S27-1</f>
        <v>-4.2895442359249247E-2</v>
      </c>
    </row>
    <row r="29" spans="3:20" x14ac:dyDescent="0.25">
      <c r="L29" s="59">
        <v>45690</v>
      </c>
      <c r="M29" s="32">
        <v>23559.95</v>
      </c>
      <c r="N29" s="69">
        <f t="shared" si="0"/>
        <v>2.7506351058146361E-2</v>
      </c>
      <c r="O29">
        <v>264.3</v>
      </c>
      <c r="P29" s="69">
        <f t="shared" si="0"/>
        <v>5.2988047808764982E-2</v>
      </c>
      <c r="Q29">
        <v>342.5</v>
      </c>
      <c r="R29" s="69">
        <f t="shared" ref="R29" si="49">Q29/Q28-1</f>
        <v>9.6526332639667034E-2</v>
      </c>
      <c r="S29">
        <v>124.13</v>
      </c>
      <c r="T29" s="69">
        <f t="shared" ref="T29" si="50">S29/S28-1</f>
        <v>0.12162284268546131</v>
      </c>
    </row>
    <row r="30" spans="3:20" x14ac:dyDescent="0.25">
      <c r="L30" s="59">
        <v>45683</v>
      </c>
      <c r="M30" s="32">
        <v>23508.400000000001</v>
      </c>
      <c r="N30" s="69">
        <f t="shared" si="0"/>
        <v>-2.188035203809835E-3</v>
      </c>
      <c r="O30">
        <v>261.10000000000002</v>
      </c>
      <c r="P30" s="69">
        <f t="shared" si="0"/>
        <v>-1.2107453651153954E-2</v>
      </c>
      <c r="Q30">
        <v>358.25</v>
      </c>
      <c r="R30" s="69">
        <f t="shared" ref="R30" si="51">Q30/Q29-1</f>
        <v>4.598540145985397E-2</v>
      </c>
      <c r="S30">
        <v>129.5</v>
      </c>
      <c r="T30" s="69">
        <f t="shared" ref="T30" si="52">S30/S29-1</f>
        <v>4.3261097236767965E-2</v>
      </c>
    </row>
    <row r="31" spans="3:20" x14ac:dyDescent="0.25">
      <c r="L31" s="59">
        <v>45676</v>
      </c>
      <c r="M31" s="32">
        <v>23092.2</v>
      </c>
      <c r="N31" s="69">
        <f t="shared" si="0"/>
        <v>-1.7704309948784247E-2</v>
      </c>
      <c r="O31">
        <v>263.8</v>
      </c>
      <c r="P31" s="69">
        <f t="shared" si="0"/>
        <v>1.0340865568747581E-2</v>
      </c>
      <c r="Q31">
        <v>352.85</v>
      </c>
      <c r="R31" s="69">
        <f t="shared" ref="R31" si="53">Q31/Q30-1</f>
        <v>-1.5073272854152053E-2</v>
      </c>
      <c r="S31">
        <v>133.59</v>
      </c>
      <c r="T31" s="69">
        <f t="shared" ref="T31" si="54">S31/S30-1</f>
        <v>3.1583011583011578E-2</v>
      </c>
    </row>
    <row r="32" spans="3:20" x14ac:dyDescent="0.25">
      <c r="L32" s="59">
        <v>45669</v>
      </c>
      <c r="M32" s="32">
        <v>23203.200000000001</v>
      </c>
      <c r="N32" s="69">
        <f t="shared" si="0"/>
        <v>4.8068178865590117E-3</v>
      </c>
      <c r="O32">
        <v>273.60000000000002</v>
      </c>
      <c r="P32" s="69">
        <f t="shared" si="0"/>
        <v>3.7149355572403397E-2</v>
      </c>
      <c r="Q32">
        <v>358.9</v>
      </c>
      <c r="R32" s="69">
        <f t="shared" ref="R32" si="55">Q32/Q31-1</f>
        <v>1.7146096074819095E-2</v>
      </c>
      <c r="S32">
        <v>140.52000000000001</v>
      </c>
      <c r="T32" s="69">
        <f t="shared" ref="T32" si="56">S32/S31-1</f>
        <v>5.1875140354816995E-2</v>
      </c>
    </row>
    <row r="33" spans="12:20" x14ac:dyDescent="0.25">
      <c r="L33" s="59">
        <v>45662</v>
      </c>
      <c r="M33" s="32">
        <v>23431.5</v>
      </c>
      <c r="N33" s="69">
        <f t="shared" si="0"/>
        <v>9.8391601158460684E-3</v>
      </c>
      <c r="O33">
        <v>277.64999999999998</v>
      </c>
      <c r="P33" s="69">
        <f t="shared" si="0"/>
        <v>1.4802631578947123E-2</v>
      </c>
      <c r="Q33">
        <v>388.45</v>
      </c>
      <c r="R33" s="69">
        <f t="shared" ref="R33" si="57">Q33/Q32-1</f>
        <v>8.2334912231819546E-2</v>
      </c>
      <c r="S33">
        <v>140.78</v>
      </c>
      <c r="T33" s="69">
        <f t="shared" ref="T33" si="58">S33/S32-1</f>
        <v>1.8502704241387669E-3</v>
      </c>
    </row>
    <row r="34" spans="12:20" x14ac:dyDescent="0.25">
      <c r="L34" s="59">
        <v>45655</v>
      </c>
      <c r="M34" s="32">
        <v>24004.75</v>
      </c>
      <c r="N34" s="69">
        <f t="shared" si="0"/>
        <v>2.4464929688666981E-2</v>
      </c>
      <c r="O34">
        <v>296.39999999999998</v>
      </c>
      <c r="P34" s="69">
        <f t="shared" si="0"/>
        <v>6.7531064289573228E-2</v>
      </c>
      <c r="Q34">
        <v>413.05</v>
      </c>
      <c r="R34" s="69">
        <f t="shared" ref="R34" si="59">Q34/Q33-1</f>
        <v>6.3328613721199689E-2</v>
      </c>
      <c r="S34">
        <v>149.53</v>
      </c>
      <c r="T34" s="69">
        <f t="shared" ref="T34" si="60">S34/S33-1</f>
        <v>6.2153715016337596E-2</v>
      </c>
    </row>
    <row r="35" spans="12:20" x14ac:dyDescent="0.25">
      <c r="L35" s="59">
        <v>45648</v>
      </c>
      <c r="M35" s="32">
        <v>23813.4</v>
      </c>
      <c r="N35" s="69">
        <f t="shared" si="0"/>
        <v>-7.9713390058216982E-3</v>
      </c>
      <c r="O35">
        <v>293.55</v>
      </c>
      <c r="P35" s="69">
        <f t="shared" si="0"/>
        <v>-9.6153846153844702E-3</v>
      </c>
      <c r="Q35">
        <v>410.7</v>
      </c>
      <c r="R35" s="69">
        <f t="shared" ref="R35" si="61">Q35/Q34-1</f>
        <v>-5.689383851833929E-3</v>
      </c>
      <c r="S35">
        <v>145.35</v>
      </c>
      <c r="T35" s="69">
        <f t="shared" ref="T35" si="62">S35/S34-1</f>
        <v>-2.7954256670902233E-2</v>
      </c>
    </row>
    <row r="36" spans="12:20" x14ac:dyDescent="0.25">
      <c r="L36" s="59">
        <v>45641</v>
      </c>
      <c r="M36" s="32">
        <v>23587.5</v>
      </c>
      <c r="N36" s="69">
        <f t="shared" si="0"/>
        <v>-9.4862556375822082E-3</v>
      </c>
      <c r="O36">
        <v>289.05</v>
      </c>
      <c r="P36" s="69">
        <f t="shared" si="0"/>
        <v>-1.5329586101175297E-2</v>
      </c>
      <c r="Q36">
        <v>399.5</v>
      </c>
      <c r="R36" s="69">
        <f t="shared" ref="R36" si="63">Q36/Q35-1</f>
        <v>-2.7270513757000181E-2</v>
      </c>
      <c r="S36">
        <v>142.22</v>
      </c>
      <c r="T36" s="69">
        <f t="shared" ref="T36" si="64">S36/S35-1</f>
        <v>-2.153422772617819E-2</v>
      </c>
    </row>
    <row r="37" spans="12:20" x14ac:dyDescent="0.25">
      <c r="L37" s="59">
        <v>45634</v>
      </c>
      <c r="M37" s="32">
        <v>24768.3</v>
      </c>
      <c r="N37" s="69">
        <f t="shared" si="0"/>
        <v>5.0060413354531041E-2</v>
      </c>
      <c r="O37">
        <v>301.7</v>
      </c>
      <c r="P37" s="69">
        <f t="shared" si="0"/>
        <v>4.3764054661823204E-2</v>
      </c>
      <c r="Q37">
        <v>415.05</v>
      </c>
      <c r="R37" s="69">
        <f t="shared" ref="R37" si="65">Q37/Q36-1</f>
        <v>3.8923654568210342E-2</v>
      </c>
      <c r="S37">
        <v>149.4</v>
      </c>
      <c r="T37" s="69">
        <f t="shared" ref="T37" si="66">S37/S36-1</f>
        <v>5.0485163830684909E-2</v>
      </c>
    </row>
    <row r="38" spans="12:20" x14ac:dyDescent="0.25">
      <c r="L38" s="59">
        <v>45627</v>
      </c>
      <c r="M38" s="32">
        <v>24677.8</v>
      </c>
      <c r="N38" s="69">
        <f t="shared" si="0"/>
        <v>-3.653864011660013E-3</v>
      </c>
      <c r="O38">
        <v>300.35000000000002</v>
      </c>
      <c r="P38" s="69">
        <f t="shared" si="0"/>
        <v>-4.4746436857804328E-3</v>
      </c>
      <c r="Q38">
        <v>399.2</v>
      </c>
      <c r="R38" s="69">
        <f t="shared" ref="R38" si="67">Q38/Q37-1</f>
        <v>-3.8188170099987984E-2</v>
      </c>
      <c r="S38">
        <v>154.93</v>
      </c>
      <c r="T38" s="69">
        <f t="shared" ref="T38" si="68">S38/S37-1</f>
        <v>3.7014725568942364E-2</v>
      </c>
    </row>
    <row r="39" spans="12:20" x14ac:dyDescent="0.25">
      <c r="L39" s="59">
        <v>45620</v>
      </c>
      <c r="M39" s="32">
        <v>24131.1</v>
      </c>
      <c r="N39" s="69">
        <f t="shared" si="0"/>
        <v>-2.2153514494809179E-2</v>
      </c>
      <c r="O39">
        <v>292.10000000000002</v>
      </c>
      <c r="P39" s="69">
        <f t="shared" si="0"/>
        <v>-2.7467954053604138E-2</v>
      </c>
      <c r="Q39">
        <v>383.1</v>
      </c>
      <c r="R39" s="69">
        <f t="shared" ref="R39" si="69">Q39/Q38-1</f>
        <v>-4.0330661322645178E-2</v>
      </c>
      <c r="S39">
        <v>154.56</v>
      </c>
      <c r="T39" s="69">
        <f t="shared" ref="T39" si="70">S39/S38-1</f>
        <v>-2.3881753049764809E-3</v>
      </c>
    </row>
    <row r="40" spans="12:20" x14ac:dyDescent="0.25">
      <c r="L40" s="59">
        <v>45613</v>
      </c>
      <c r="M40" s="32">
        <v>23907.25</v>
      </c>
      <c r="N40" s="69">
        <f t="shared" si="0"/>
        <v>-9.2764109385812255E-3</v>
      </c>
      <c r="O40">
        <v>285.85000000000002</v>
      </c>
      <c r="P40" s="69">
        <f t="shared" si="0"/>
        <v>-2.1396781923998631E-2</v>
      </c>
      <c r="Q40">
        <v>360.7</v>
      </c>
      <c r="R40" s="69">
        <f t="shared" ref="R40" si="71">Q40/Q39-1</f>
        <v>-5.8470373270686604E-2</v>
      </c>
      <c r="S40">
        <v>157.25</v>
      </c>
      <c r="T40" s="69">
        <f t="shared" ref="T40" si="72">S40/S39-1</f>
        <v>1.7404244306418182E-2</v>
      </c>
    </row>
    <row r="41" spans="12:20" x14ac:dyDescent="0.25">
      <c r="L41" s="59">
        <v>45606</v>
      </c>
      <c r="M41" s="32">
        <v>23532.7</v>
      </c>
      <c r="N41" s="69">
        <f t="shared" si="0"/>
        <v>-1.5666795637306663E-2</v>
      </c>
      <c r="O41">
        <v>298.2</v>
      </c>
      <c r="P41" s="69">
        <f t="shared" si="0"/>
        <v>4.3204477873010294E-2</v>
      </c>
      <c r="Q41">
        <v>372.4</v>
      </c>
      <c r="R41" s="69">
        <f t="shared" ref="R41" si="73">Q41/Q40-1</f>
        <v>3.2436928195175962E-2</v>
      </c>
      <c r="S41">
        <v>149.26</v>
      </c>
      <c r="T41" s="69">
        <f t="shared" ref="T41" si="74">S41/S40-1</f>
        <v>-5.0810810810810847E-2</v>
      </c>
    </row>
    <row r="42" spans="12:20" x14ac:dyDescent="0.25">
      <c r="L42" s="59">
        <v>45599</v>
      </c>
      <c r="M42" s="32">
        <v>24148.2</v>
      </c>
      <c r="N42" s="69">
        <f t="shared" si="0"/>
        <v>2.6155094825498049E-2</v>
      </c>
      <c r="O42">
        <v>310.45</v>
      </c>
      <c r="P42" s="69">
        <f t="shared" si="0"/>
        <v>4.1079812206572752E-2</v>
      </c>
      <c r="Q42">
        <v>383.05</v>
      </c>
      <c r="R42" s="69">
        <f t="shared" ref="R42" si="75">Q42/Q41-1</f>
        <v>2.8598281417830274E-2</v>
      </c>
      <c r="S42">
        <v>160.80000000000001</v>
      </c>
      <c r="T42" s="69">
        <f t="shared" ref="T42" si="76">S42/S41-1</f>
        <v>7.7314752780383467E-2</v>
      </c>
    </row>
    <row r="43" spans="12:20" x14ac:dyDescent="0.25">
      <c r="L43" s="59">
        <v>45592</v>
      </c>
      <c r="M43" s="32">
        <v>24304.35</v>
      </c>
      <c r="N43" s="69">
        <f t="shared" si="0"/>
        <v>6.4663204710908584E-3</v>
      </c>
      <c r="O43">
        <v>313</v>
      </c>
      <c r="P43" s="69">
        <f t="shared" si="0"/>
        <v>8.213883072958561E-3</v>
      </c>
      <c r="Q43">
        <v>381</v>
      </c>
      <c r="R43" s="69">
        <f t="shared" ref="R43" si="77">Q43/Q42-1</f>
        <v>-5.3517817517295674E-3</v>
      </c>
      <c r="S43">
        <v>151.5</v>
      </c>
      <c r="T43" s="69">
        <f t="shared" ref="T43" si="78">S43/S42-1</f>
        <v>-5.7835820895522416E-2</v>
      </c>
    </row>
    <row r="44" spans="12:20" x14ac:dyDescent="0.25">
      <c r="L44" s="59">
        <v>45585</v>
      </c>
      <c r="M44" s="32">
        <v>24180.799999999999</v>
      </c>
      <c r="N44" s="69">
        <f t="shared" si="0"/>
        <v>-5.0834521392261189E-3</v>
      </c>
      <c r="O44">
        <v>306.3</v>
      </c>
      <c r="P44" s="69">
        <f t="shared" si="0"/>
        <v>-2.1405750798721979E-2</v>
      </c>
      <c r="Q44">
        <v>372.4</v>
      </c>
      <c r="R44" s="69">
        <f t="shared" ref="R44" si="79">Q44/Q43-1</f>
        <v>-2.257217847769033E-2</v>
      </c>
      <c r="S44">
        <v>144.84</v>
      </c>
      <c r="T44" s="69">
        <f t="shared" ref="T44" si="80">S44/S43-1</f>
        <v>-4.3960396039603888E-2</v>
      </c>
    </row>
    <row r="45" spans="12:20" x14ac:dyDescent="0.25">
      <c r="L45" s="59">
        <v>45578</v>
      </c>
      <c r="M45" s="32">
        <v>24854.05</v>
      </c>
      <c r="N45" s="69">
        <f t="shared" si="0"/>
        <v>2.7842337722490562E-2</v>
      </c>
      <c r="O45">
        <v>342.5</v>
      </c>
      <c r="P45" s="69">
        <f t="shared" si="0"/>
        <v>0.11818478615736194</v>
      </c>
      <c r="Q45">
        <v>431.6</v>
      </c>
      <c r="R45" s="69">
        <f t="shared" ref="R45" si="81">Q45/Q44-1</f>
        <v>0.15896885069817412</v>
      </c>
      <c r="S45">
        <v>165.53</v>
      </c>
      <c r="T45" s="69">
        <f t="shared" ref="T45" si="82">S45/S44-1</f>
        <v>0.14284727975697309</v>
      </c>
    </row>
    <row r="46" spans="12:20" x14ac:dyDescent="0.25">
      <c r="L46" s="59">
        <v>45571</v>
      </c>
      <c r="M46" s="32">
        <v>24964.25</v>
      </c>
      <c r="N46" s="69">
        <f t="shared" si="0"/>
        <v>4.4338850207512603E-3</v>
      </c>
      <c r="O46">
        <v>337.65</v>
      </c>
      <c r="P46" s="69">
        <f t="shared" si="0"/>
        <v>-1.4160583941605909E-2</v>
      </c>
      <c r="Q46">
        <v>395.5</v>
      </c>
      <c r="R46" s="69">
        <f t="shared" ref="R46" si="83">Q46/Q45-1</f>
        <v>-8.3642261353104819E-2</v>
      </c>
      <c r="S46">
        <v>174.73</v>
      </c>
      <c r="T46" s="69">
        <f t="shared" ref="T46" si="84">S46/S45-1</f>
        <v>5.5579049114963919E-2</v>
      </c>
    </row>
    <row r="47" spans="12:20" x14ac:dyDescent="0.25">
      <c r="L47" s="59">
        <v>45564</v>
      </c>
      <c r="M47" s="32">
        <v>25014.6</v>
      </c>
      <c r="N47" s="69">
        <f t="shared" si="0"/>
        <v>2.0168841443264363E-3</v>
      </c>
      <c r="O47">
        <v>340.25</v>
      </c>
      <c r="P47" s="69">
        <f t="shared" si="0"/>
        <v>7.700281356434191E-3</v>
      </c>
      <c r="Q47">
        <v>406.9</v>
      </c>
      <c r="R47" s="69">
        <f t="shared" ref="R47" si="85">Q47/Q46-1</f>
        <v>2.8824273072060702E-2</v>
      </c>
      <c r="S47">
        <v>179.39</v>
      </c>
      <c r="T47" s="69">
        <f t="shared" ref="T47" si="86">S47/S46-1</f>
        <v>2.6669718995020908E-2</v>
      </c>
    </row>
    <row r="48" spans="12:20" x14ac:dyDescent="0.25">
      <c r="L48" s="59">
        <v>45557</v>
      </c>
      <c r="M48" s="32">
        <v>26178.95</v>
      </c>
      <c r="N48" s="69">
        <f t="shared" si="0"/>
        <v>4.6546816659071233E-2</v>
      </c>
      <c r="O48">
        <v>367.3</v>
      </c>
      <c r="P48" s="69">
        <f t="shared" si="0"/>
        <v>7.9500367376928782E-2</v>
      </c>
      <c r="Q48">
        <v>437.95</v>
      </c>
      <c r="R48" s="69">
        <f t="shared" ref="R48" si="87">Q48/Q47-1</f>
        <v>7.630867535020891E-2</v>
      </c>
      <c r="S48">
        <v>179.76</v>
      </c>
      <c r="T48" s="69">
        <f t="shared" ref="T48" si="88">S48/S47-1</f>
        <v>2.0625452923797027E-3</v>
      </c>
    </row>
    <row r="49" spans="12:20" x14ac:dyDescent="0.25">
      <c r="L49" s="59">
        <v>45550</v>
      </c>
      <c r="M49" s="32">
        <v>25790.95</v>
      </c>
      <c r="N49" s="69">
        <f t="shared" si="0"/>
        <v>-1.4821068071866894E-2</v>
      </c>
      <c r="O49">
        <v>331.2</v>
      </c>
      <c r="P49" s="69">
        <f t="shared" si="0"/>
        <v>-9.8284780833106544E-2</v>
      </c>
      <c r="Q49">
        <v>398.75</v>
      </c>
      <c r="R49" s="69">
        <f t="shared" ref="R49" si="89">Q49/Q48-1</f>
        <v>-8.9507934695741476E-2</v>
      </c>
      <c r="S49">
        <v>181.75</v>
      </c>
      <c r="T49" s="69">
        <f t="shared" ref="T49" si="90">S49/S48-1</f>
        <v>1.1070315976858147E-2</v>
      </c>
    </row>
    <row r="50" spans="12:20" x14ac:dyDescent="0.25">
      <c r="L50" s="59">
        <v>45543</v>
      </c>
      <c r="M50" s="32">
        <v>25356.5</v>
      </c>
      <c r="N50" s="69">
        <f t="shared" si="0"/>
        <v>-1.684505611464493E-2</v>
      </c>
      <c r="O50">
        <v>342.3</v>
      </c>
      <c r="P50" s="69">
        <f t="shared" si="0"/>
        <v>3.3514492753623282E-2</v>
      </c>
      <c r="Q50">
        <v>410.9</v>
      </c>
      <c r="R50" s="69">
        <f t="shared" ref="R50" si="91">Q50/Q49-1</f>
        <v>3.047021943573669E-2</v>
      </c>
      <c r="S50">
        <v>190.98</v>
      </c>
      <c r="T50" s="69">
        <f t="shared" ref="T50" si="92">S50/S49-1</f>
        <v>5.0784044016506158E-2</v>
      </c>
    </row>
    <row r="51" spans="12:20" x14ac:dyDescent="0.25">
      <c r="L51" s="59">
        <v>45536</v>
      </c>
      <c r="M51" s="32">
        <v>24852.15</v>
      </c>
      <c r="N51" s="69">
        <f t="shared" si="0"/>
        <v>-1.9890363417664036E-2</v>
      </c>
      <c r="O51">
        <v>352.15</v>
      </c>
      <c r="P51" s="69">
        <f t="shared" si="0"/>
        <v>2.8775927548933655E-2</v>
      </c>
      <c r="Q51">
        <v>434.4</v>
      </c>
      <c r="R51" s="69">
        <f t="shared" ref="R51" si="93">Q51/Q50-1</f>
        <v>5.7191530786079303E-2</v>
      </c>
      <c r="S51">
        <v>197.21</v>
      </c>
      <c r="T51" s="69">
        <f t="shared" ref="T51" si="94">S51/S50-1</f>
        <v>3.2621216881348891E-2</v>
      </c>
    </row>
    <row r="52" spans="12:20" x14ac:dyDescent="0.25">
      <c r="L52" s="59">
        <v>45529</v>
      </c>
      <c r="M52" s="32">
        <v>25235.9</v>
      </c>
      <c r="N52" s="69">
        <f t="shared" si="0"/>
        <v>1.544131996628062E-2</v>
      </c>
      <c r="O52">
        <v>357.65</v>
      </c>
      <c r="P52" s="69">
        <f t="shared" si="0"/>
        <v>1.561834445548782E-2</v>
      </c>
      <c r="Q52">
        <v>419.05</v>
      </c>
      <c r="R52" s="69">
        <f t="shared" ref="R52" si="95">Q52/Q51-1</f>
        <v>-3.5336095764272435E-2</v>
      </c>
      <c r="S52">
        <v>207.37</v>
      </c>
      <c r="T52" s="69">
        <f t="shared" ref="T52" si="96">S52/S51-1</f>
        <v>5.1518685665027153E-2</v>
      </c>
    </row>
    <row r="53" spans="12:20" x14ac:dyDescent="0.25">
      <c r="L53" s="59">
        <v>45522</v>
      </c>
      <c r="M53" s="32">
        <v>24823.15</v>
      </c>
      <c r="N53" s="69">
        <f t="shared" si="0"/>
        <v>-1.6355667917530181E-2</v>
      </c>
      <c r="O53">
        <v>352.2</v>
      </c>
      <c r="P53" s="69">
        <f t="shared" si="0"/>
        <v>-1.523836152663216E-2</v>
      </c>
      <c r="Q53">
        <v>405.5</v>
      </c>
      <c r="R53" s="69">
        <f t="shared" ref="R53" si="97">Q53/Q52-1</f>
        <v>-3.2335043550888898E-2</v>
      </c>
      <c r="S53">
        <v>213.75</v>
      </c>
      <c r="T53" s="69">
        <f t="shared" ref="T53" si="98">S53/S52-1</f>
        <v>3.0766263201041699E-2</v>
      </c>
    </row>
    <row r="54" spans="12:20" x14ac:dyDescent="0.25">
      <c r="L54" s="59">
        <v>45515</v>
      </c>
      <c r="M54" s="32">
        <v>24541.15</v>
      </c>
      <c r="N54" s="69">
        <f t="shared" si="0"/>
        <v>-1.1360363209342861E-2</v>
      </c>
      <c r="O54">
        <v>332.5</v>
      </c>
      <c r="P54" s="69">
        <f t="shared" si="0"/>
        <v>-5.5934128336172617E-2</v>
      </c>
      <c r="Q54">
        <v>379.85</v>
      </c>
      <c r="R54" s="69">
        <f t="shared" ref="R54" si="99">Q54/Q53-1</f>
        <v>-6.325524044389641E-2</v>
      </c>
      <c r="S54">
        <v>203.67</v>
      </c>
      <c r="T54" s="69">
        <f t="shared" ref="T54" si="100">S54/S53-1</f>
        <v>-4.7157894736842176E-2</v>
      </c>
    </row>
    <row r="55" spans="12:20" x14ac:dyDescent="0.25">
      <c r="L55" s="59">
        <v>45508</v>
      </c>
      <c r="M55" s="32">
        <v>24367.5</v>
      </c>
      <c r="N55" s="69">
        <f t="shared" si="0"/>
        <v>-7.0758705276647849E-3</v>
      </c>
      <c r="O55">
        <v>333.4</v>
      </c>
      <c r="P55" s="69">
        <f t="shared" si="0"/>
        <v>2.7067669172931019E-3</v>
      </c>
      <c r="Q55">
        <v>376.65</v>
      </c>
      <c r="R55" s="69">
        <f t="shared" ref="R55" si="101">Q55/Q54-1</f>
        <v>-8.4243780439648974E-3</v>
      </c>
      <c r="S55">
        <v>204.96</v>
      </c>
      <c r="T55" s="69">
        <f t="shared" ref="T55" si="102">S55/S54-1</f>
        <v>6.3337752246281909E-3</v>
      </c>
    </row>
    <row r="56" spans="12:20" x14ac:dyDescent="0.25">
      <c r="L56" s="59">
        <v>45501</v>
      </c>
      <c r="M56" s="32">
        <v>24717.7</v>
      </c>
      <c r="N56" s="69">
        <f t="shared" si="0"/>
        <v>1.4371601518415877E-2</v>
      </c>
      <c r="O56">
        <v>347.1</v>
      </c>
      <c r="P56" s="69">
        <f t="shared" si="0"/>
        <v>4.1091781643671332E-2</v>
      </c>
      <c r="Q56">
        <v>389.25</v>
      </c>
      <c r="R56" s="69">
        <f t="shared" ref="R56" si="103">Q56/Q55-1</f>
        <v>3.3452807646356053E-2</v>
      </c>
      <c r="S56">
        <v>217.97</v>
      </c>
      <c r="T56" s="69">
        <f t="shared" ref="T56" si="104">S56/S55-1</f>
        <v>6.3475800156127971E-2</v>
      </c>
    </row>
    <row r="57" spans="12:20" x14ac:dyDescent="0.25">
      <c r="L57" s="59">
        <v>45494</v>
      </c>
      <c r="M57" s="32">
        <v>24834.85</v>
      </c>
      <c r="N57" s="69">
        <f t="shared" si="0"/>
        <v>4.7395186445340354E-3</v>
      </c>
      <c r="O57">
        <v>328.8</v>
      </c>
      <c r="P57" s="69">
        <f t="shared" si="0"/>
        <v>-5.2722558340535852E-2</v>
      </c>
      <c r="Q57">
        <v>376.55</v>
      </c>
      <c r="R57" s="69">
        <f t="shared" ref="R57" si="105">Q57/Q56-1</f>
        <v>-3.2626846499678841E-2</v>
      </c>
      <c r="S57">
        <v>214.88</v>
      </c>
      <c r="T57" s="69">
        <f t="shared" ref="T57" si="106">S57/S56-1</f>
        <v>-1.4176262788457183E-2</v>
      </c>
    </row>
    <row r="58" spans="12:20" x14ac:dyDescent="0.25">
      <c r="L58" s="59">
        <v>45487</v>
      </c>
      <c r="M58" s="32">
        <v>24530.9</v>
      </c>
      <c r="N58" s="69">
        <f t="shared" si="0"/>
        <v>-1.2238849842056476E-2</v>
      </c>
      <c r="O58">
        <v>303.8</v>
      </c>
      <c r="P58" s="69">
        <f t="shared" si="0"/>
        <v>-7.6034063260340679E-2</v>
      </c>
      <c r="Q58">
        <v>341.65</v>
      </c>
      <c r="R58" s="69">
        <f t="shared" ref="R58" si="107">Q58/Q57-1</f>
        <v>-9.2683574558491633E-2</v>
      </c>
      <c r="S58">
        <v>216.11</v>
      </c>
      <c r="T58" s="69">
        <f t="shared" ref="T58" si="108">S58/S57-1</f>
        <v>5.724125093075294E-3</v>
      </c>
    </row>
    <row r="59" spans="12:20" x14ac:dyDescent="0.25">
      <c r="L59" s="59">
        <v>45480</v>
      </c>
      <c r="M59" s="32">
        <v>24502.15</v>
      </c>
      <c r="N59" s="69">
        <f t="shared" si="0"/>
        <v>-1.1719912436967128E-3</v>
      </c>
      <c r="O59">
        <v>304.55</v>
      </c>
      <c r="P59" s="69">
        <f t="shared" si="0"/>
        <v>2.4687294272547344E-3</v>
      </c>
      <c r="Q59">
        <v>342.15</v>
      </c>
      <c r="R59" s="69">
        <f t="shared" ref="R59" si="109">Q59/Q58-1</f>
        <v>1.4634860237083824E-3</v>
      </c>
      <c r="S59">
        <v>240.21</v>
      </c>
      <c r="T59" s="69">
        <f t="shared" ref="T59" si="110">S59/S58-1</f>
        <v>0.11151728286520757</v>
      </c>
    </row>
    <row r="60" spans="12:20" x14ac:dyDescent="0.25">
      <c r="L60" s="59">
        <v>45473</v>
      </c>
      <c r="M60" s="32">
        <v>24323.85</v>
      </c>
      <c r="N60" s="69">
        <f t="shared" si="0"/>
        <v>-7.2769124342150215E-3</v>
      </c>
      <c r="O60">
        <v>306.64999999999998</v>
      </c>
      <c r="P60" s="69">
        <f t="shared" si="0"/>
        <v>6.895419471351083E-3</v>
      </c>
      <c r="Q60">
        <v>332.45</v>
      </c>
      <c r="R60" s="69">
        <f t="shared" ref="R60" si="111">Q60/Q59-1</f>
        <v>-2.8350138827999416E-2</v>
      </c>
      <c r="S60">
        <v>217.96</v>
      </c>
      <c r="T60" s="69">
        <f t="shared" ref="T60" si="112">S60/S59-1</f>
        <v>-9.2627284459431358E-2</v>
      </c>
    </row>
    <row r="61" spans="12:20" x14ac:dyDescent="0.25">
      <c r="L61" s="59">
        <v>45466</v>
      </c>
      <c r="M61" s="32">
        <v>24010.6</v>
      </c>
      <c r="N61" s="69">
        <f t="shared" si="0"/>
        <v>-1.2878306682535867E-2</v>
      </c>
      <c r="O61">
        <v>303.95</v>
      </c>
      <c r="P61" s="69">
        <f t="shared" si="0"/>
        <v>-8.8048263492580547E-3</v>
      </c>
      <c r="Q61">
        <v>332.1</v>
      </c>
      <c r="R61" s="69">
        <f t="shared" ref="R61" si="113">Q61/Q60-1</f>
        <v>-1.0527898932168878E-3</v>
      </c>
      <c r="S61">
        <v>214.33</v>
      </c>
      <c r="T61" s="69">
        <f t="shared" ref="T61" si="114">S61/S60-1</f>
        <v>-1.6654432005872577E-2</v>
      </c>
    </row>
    <row r="62" spans="12:20" x14ac:dyDescent="0.25">
      <c r="L62" s="59">
        <v>45459</v>
      </c>
      <c r="M62" s="32">
        <v>23501.1</v>
      </c>
      <c r="N62" s="69">
        <f t="shared" si="0"/>
        <v>-2.1219794590722429E-2</v>
      </c>
      <c r="O62">
        <v>307.60000000000002</v>
      </c>
      <c r="P62" s="69">
        <f t="shared" si="0"/>
        <v>1.2008554038493324E-2</v>
      </c>
      <c r="Q62">
        <v>340.85</v>
      </c>
      <c r="R62" s="69">
        <f t="shared" ref="R62" si="115">Q62/Q61-1</f>
        <v>2.634748569707912E-2</v>
      </c>
      <c r="S62">
        <v>212.66</v>
      </c>
      <c r="T62" s="69">
        <f t="shared" ref="T62" si="116">S62/S61-1</f>
        <v>-7.7917230439042973E-3</v>
      </c>
    </row>
    <row r="63" spans="12:20" x14ac:dyDescent="0.25">
      <c r="L63" s="59">
        <v>45452</v>
      </c>
      <c r="M63" s="32">
        <v>23465.599999999999</v>
      </c>
      <c r="N63" s="69">
        <f t="shared" si="0"/>
        <v>-1.5105675904532045E-3</v>
      </c>
      <c r="O63">
        <v>313.33</v>
      </c>
      <c r="P63" s="69">
        <f t="shared" si="0"/>
        <v>1.8628088426527745E-2</v>
      </c>
      <c r="Q63">
        <v>357.53</v>
      </c>
      <c r="R63" s="69">
        <f t="shared" ref="R63" si="117">Q63/Q62-1</f>
        <v>4.8936482323602704E-2</v>
      </c>
      <c r="S63">
        <v>215.12</v>
      </c>
      <c r="T63" s="69">
        <f t="shared" ref="T63" si="118">S63/S62-1</f>
        <v>1.1567760744850997E-2</v>
      </c>
    </row>
    <row r="64" spans="12:20" x14ac:dyDescent="0.25">
      <c r="L64" s="59">
        <v>45445</v>
      </c>
      <c r="M64" s="32">
        <v>23290.15</v>
      </c>
      <c r="N64" s="69">
        <f t="shared" si="0"/>
        <v>-7.4769023591980677E-3</v>
      </c>
      <c r="O64">
        <v>299.89999999999998</v>
      </c>
      <c r="P64" s="69">
        <f t="shared" si="0"/>
        <v>-4.286215810806504E-2</v>
      </c>
      <c r="Q64">
        <v>349.23</v>
      </c>
      <c r="R64" s="69">
        <f t="shared" ref="R64" si="119">Q64/Q63-1</f>
        <v>-2.3214835118731125E-2</v>
      </c>
      <c r="S64">
        <v>205.4</v>
      </c>
      <c r="T64" s="69">
        <f t="shared" ref="T64" si="120">S64/S63-1</f>
        <v>-4.5184083302342914E-2</v>
      </c>
    </row>
    <row r="65" spans="12:20" x14ac:dyDescent="0.25">
      <c r="L65" s="59">
        <v>45438</v>
      </c>
      <c r="M65" s="32">
        <v>22530.7</v>
      </c>
      <c r="N65" s="69">
        <f t="shared" si="0"/>
        <v>-3.2608205614820029E-2</v>
      </c>
      <c r="O65">
        <v>313.89999999999998</v>
      </c>
      <c r="P65" s="69">
        <f t="shared" si="0"/>
        <v>4.6682227409136301E-2</v>
      </c>
      <c r="Q65">
        <v>358.23</v>
      </c>
      <c r="R65" s="69">
        <f t="shared" ref="R65" si="121">Q65/Q64-1</f>
        <v>2.5770981874409404E-2</v>
      </c>
      <c r="S65">
        <v>203.15</v>
      </c>
      <c r="T65" s="69">
        <f t="shared" ref="T65" si="122">S65/S64-1</f>
        <v>-1.0954235637779974E-2</v>
      </c>
    </row>
    <row r="66" spans="12:20" x14ac:dyDescent="0.25">
      <c r="L66" s="59">
        <v>45431</v>
      </c>
      <c r="M66" s="32">
        <v>22957.1</v>
      </c>
      <c r="N66" s="69">
        <f t="shared" si="0"/>
        <v>1.8925288606212787E-2</v>
      </c>
      <c r="O66">
        <v>327.05</v>
      </c>
      <c r="P66" s="69">
        <f t="shared" si="0"/>
        <v>4.1892322395667536E-2</v>
      </c>
      <c r="Q66">
        <v>362.3</v>
      </c>
      <c r="R66" s="69">
        <f t="shared" ref="R66" si="123">Q66/Q65-1</f>
        <v>1.1361415850152046E-2</v>
      </c>
      <c r="S66">
        <v>218.65</v>
      </c>
      <c r="T66" s="69">
        <f t="shared" ref="T66" si="124">S66/S65-1</f>
        <v>7.6298301747477204E-2</v>
      </c>
    </row>
    <row r="67" spans="12:20" x14ac:dyDescent="0.25">
      <c r="L67" s="59">
        <v>45424</v>
      </c>
      <c r="M67" s="32">
        <v>22466.1</v>
      </c>
      <c r="N67" s="69">
        <f t="shared" si="0"/>
        <v>-2.1387718832082458E-2</v>
      </c>
      <c r="O67">
        <v>314.14999999999998</v>
      </c>
      <c r="P67" s="69">
        <f t="shared" si="0"/>
        <v>-3.9443510166641271E-2</v>
      </c>
      <c r="Q67">
        <v>337.97</v>
      </c>
      <c r="R67" s="69">
        <f t="shared" ref="R67" si="125">Q67/Q66-1</f>
        <v>-6.7154292023185125E-2</v>
      </c>
      <c r="S67">
        <v>209.2</v>
      </c>
      <c r="T67" s="69">
        <f t="shared" ref="T67" si="126">S67/S66-1</f>
        <v>-4.3219757603475961E-2</v>
      </c>
    </row>
    <row r="68" spans="12:20" x14ac:dyDescent="0.25">
      <c r="L68" s="59">
        <v>45417</v>
      </c>
      <c r="M68" s="32">
        <v>22055.200000000001</v>
      </c>
      <c r="N68" s="69">
        <f t="shared" si="0"/>
        <v>-1.8289778822314418E-2</v>
      </c>
      <c r="O68">
        <v>309.33</v>
      </c>
      <c r="P68" s="69">
        <f t="shared" si="0"/>
        <v>-1.5342989017985031E-2</v>
      </c>
      <c r="Q68">
        <v>334.37</v>
      </c>
      <c r="R68" s="69">
        <f t="shared" ref="R68" si="127">Q68/Q67-1</f>
        <v>-1.0651833002929267E-2</v>
      </c>
      <c r="S68">
        <v>210.55</v>
      </c>
      <c r="T68" s="69">
        <f t="shared" ref="T68" si="128">S68/S67-1</f>
        <v>6.4531548757171819E-3</v>
      </c>
    </row>
    <row r="69" spans="12:20" x14ac:dyDescent="0.25">
      <c r="L69" s="59">
        <v>45410</v>
      </c>
      <c r="M69" s="32">
        <v>22475.85</v>
      </c>
      <c r="N69" s="69">
        <f t="shared" ref="N69:P132" si="129">M69/M68-1</f>
        <v>1.9072599659037293E-2</v>
      </c>
      <c r="O69">
        <v>314.92</v>
      </c>
      <c r="P69" s="69">
        <f t="shared" si="129"/>
        <v>1.8071315423657586E-2</v>
      </c>
      <c r="Q69">
        <v>356.07</v>
      </c>
      <c r="R69" s="69">
        <f t="shared" ref="R69" si="130">Q69/Q68-1</f>
        <v>6.4898166701558013E-2</v>
      </c>
      <c r="S69">
        <v>251.5</v>
      </c>
      <c r="T69" s="69">
        <f t="shared" ref="T69" si="131">S69/S68-1</f>
        <v>0.19449061980527182</v>
      </c>
    </row>
    <row r="70" spans="12:20" x14ac:dyDescent="0.25">
      <c r="L70" s="59">
        <v>45403</v>
      </c>
      <c r="M70" s="32">
        <v>22419.95</v>
      </c>
      <c r="N70" s="69">
        <f t="shared" si="129"/>
        <v>-2.4871139467471659E-3</v>
      </c>
      <c r="O70">
        <v>304.73</v>
      </c>
      <c r="P70" s="69">
        <f t="shared" si="129"/>
        <v>-3.235742410770992E-2</v>
      </c>
      <c r="Q70">
        <v>327.39999999999998</v>
      </c>
      <c r="R70" s="69">
        <f t="shared" ref="R70" si="132">Q70/Q69-1</f>
        <v>-8.0517875698598584E-2</v>
      </c>
      <c r="S70">
        <v>250.95</v>
      </c>
      <c r="T70" s="69">
        <f t="shared" ref="T70" si="133">S70/S69-1</f>
        <v>-2.1868787276342339E-3</v>
      </c>
    </row>
    <row r="71" spans="12:20" x14ac:dyDescent="0.25">
      <c r="L71" s="59">
        <v>45396</v>
      </c>
      <c r="M71" s="32">
        <v>22147</v>
      </c>
      <c r="N71" s="69">
        <f t="shared" si="129"/>
        <v>-1.2174425009868428E-2</v>
      </c>
      <c r="O71">
        <v>292.89999999999998</v>
      </c>
      <c r="P71" s="69">
        <f t="shared" si="129"/>
        <v>-3.8821251599777007E-2</v>
      </c>
      <c r="Q71">
        <v>318.93</v>
      </c>
      <c r="R71" s="69">
        <f t="shared" ref="R71" si="134">Q71/Q70-1</f>
        <v>-2.5870494807574751E-2</v>
      </c>
      <c r="S71">
        <v>227</v>
      </c>
      <c r="T71" s="69">
        <f t="shared" ref="T71" si="135">S71/S70-1</f>
        <v>-9.5437338115162307E-2</v>
      </c>
    </row>
    <row r="72" spans="12:20" x14ac:dyDescent="0.25">
      <c r="L72" s="59">
        <v>45389</v>
      </c>
      <c r="M72" s="32">
        <v>22519.4</v>
      </c>
      <c r="N72" s="69">
        <f t="shared" si="129"/>
        <v>1.6814918499119536E-2</v>
      </c>
      <c r="O72">
        <v>300.60000000000002</v>
      </c>
      <c r="P72" s="69">
        <f t="shared" si="129"/>
        <v>2.628883578012986E-2</v>
      </c>
      <c r="Q72">
        <v>318.83</v>
      </c>
      <c r="R72" s="69">
        <f t="shared" ref="R72" si="136">Q72/Q71-1</f>
        <v>-3.1354842755471068E-4</v>
      </c>
      <c r="S72">
        <v>221.9</v>
      </c>
      <c r="T72" s="69">
        <f t="shared" ref="T72" si="137">S72/S71-1</f>
        <v>-2.2466960352422904E-2</v>
      </c>
    </row>
    <row r="73" spans="12:20" x14ac:dyDescent="0.25">
      <c r="L73" s="59">
        <v>45382</v>
      </c>
      <c r="M73" s="32">
        <v>22513.7</v>
      </c>
      <c r="N73" s="69">
        <f t="shared" si="129"/>
        <v>-2.5311509187642134E-4</v>
      </c>
      <c r="O73">
        <v>295.23</v>
      </c>
      <c r="P73" s="69">
        <f t="shared" si="129"/>
        <v>-1.7864271457085801E-2</v>
      </c>
      <c r="Q73">
        <v>307.47000000000003</v>
      </c>
      <c r="R73" s="69">
        <f t="shared" ref="R73" si="138">Q73/Q72-1</f>
        <v>-3.563027318633738E-2</v>
      </c>
      <c r="S73">
        <v>238.25</v>
      </c>
      <c r="T73" s="69">
        <f t="shared" ref="T73" si="139">S73/S72-1</f>
        <v>7.3681838666065813E-2</v>
      </c>
    </row>
    <row r="74" spans="12:20" x14ac:dyDescent="0.25">
      <c r="L74" s="59">
        <v>45375</v>
      </c>
      <c r="M74" s="32">
        <v>22326.9</v>
      </c>
      <c r="N74" s="69">
        <f t="shared" si="129"/>
        <v>-8.2971701674979803E-3</v>
      </c>
      <c r="O74">
        <v>301.2</v>
      </c>
      <c r="P74" s="69">
        <f t="shared" si="129"/>
        <v>2.0221522203027975E-2</v>
      </c>
      <c r="Q74">
        <v>317.10000000000002</v>
      </c>
      <c r="R74" s="69">
        <f t="shared" ref="R74" si="140">Q74/Q73-1</f>
        <v>3.1320128793052904E-2</v>
      </c>
      <c r="S74">
        <v>218.55</v>
      </c>
      <c r="T74" s="69">
        <f t="shared" ref="T74" si="141">S74/S73-1</f>
        <v>-8.2686253934942222E-2</v>
      </c>
    </row>
    <row r="75" spans="12:20" x14ac:dyDescent="0.25">
      <c r="L75" s="59">
        <v>45368</v>
      </c>
      <c r="M75" s="32">
        <v>22096.75</v>
      </c>
      <c r="N75" s="69">
        <f t="shared" si="129"/>
        <v>-1.0308193255669229E-2</v>
      </c>
      <c r="O75">
        <v>296.39999999999998</v>
      </c>
      <c r="P75" s="69">
        <f t="shared" si="129"/>
        <v>-1.5936254980079667E-2</v>
      </c>
      <c r="Q75">
        <v>315.63</v>
      </c>
      <c r="R75" s="69">
        <f t="shared" ref="R75" si="142">Q75/Q74-1</f>
        <v>-4.6357615894040416E-3</v>
      </c>
      <c r="S75">
        <v>221.45</v>
      </c>
      <c r="T75" s="69">
        <f t="shared" ref="T75" si="143">S75/S74-1</f>
        <v>1.3269274765499883E-2</v>
      </c>
    </row>
    <row r="76" spans="12:20" x14ac:dyDescent="0.25">
      <c r="L76" s="59">
        <v>45361</v>
      </c>
      <c r="M76" s="32">
        <v>22023.35</v>
      </c>
      <c r="N76" s="69">
        <f t="shared" si="129"/>
        <v>-3.3217554617761547E-3</v>
      </c>
      <c r="O76">
        <v>293.23</v>
      </c>
      <c r="P76" s="69">
        <f t="shared" si="129"/>
        <v>-1.0695006747638236E-2</v>
      </c>
      <c r="Q76">
        <v>312.57</v>
      </c>
      <c r="R76" s="69">
        <f t="shared" ref="R76" si="144">Q76/Q75-1</f>
        <v>-9.6948959224408826E-3</v>
      </c>
      <c r="S76">
        <v>215.65</v>
      </c>
      <c r="T76" s="69">
        <f t="shared" ref="T76" si="145">S76/S75-1</f>
        <v>-2.6191013772860594E-2</v>
      </c>
    </row>
    <row r="77" spans="12:20" x14ac:dyDescent="0.25">
      <c r="L77" s="59">
        <v>45354</v>
      </c>
      <c r="M77" s="32">
        <v>22493.55</v>
      </c>
      <c r="N77" s="69">
        <f t="shared" si="129"/>
        <v>2.1350067087886337E-2</v>
      </c>
      <c r="O77">
        <v>312.35000000000002</v>
      </c>
      <c r="P77" s="69">
        <f t="shared" si="129"/>
        <v>6.5204788050335916E-2</v>
      </c>
      <c r="Q77">
        <v>339</v>
      </c>
      <c r="R77" s="69">
        <f t="shared" ref="R77" si="146">Q77/Q76-1</f>
        <v>8.455705921873502E-2</v>
      </c>
      <c r="S77">
        <v>233.2</v>
      </c>
      <c r="T77" s="69">
        <f t="shared" ref="T77" si="147">S77/S76-1</f>
        <v>8.138186876883835E-2</v>
      </c>
    </row>
    <row r="78" spans="12:20" x14ac:dyDescent="0.25">
      <c r="L78" s="59">
        <v>45347</v>
      </c>
      <c r="M78" s="32">
        <v>22338.75</v>
      </c>
      <c r="N78" s="69">
        <f t="shared" si="129"/>
        <v>-6.8819728322118134E-3</v>
      </c>
      <c r="O78">
        <v>311.64999999999998</v>
      </c>
      <c r="P78" s="69">
        <f t="shared" si="129"/>
        <v>-2.2410757163440209E-3</v>
      </c>
      <c r="Q78">
        <v>344.77</v>
      </c>
      <c r="R78" s="69">
        <f t="shared" ref="R78" si="148">Q78/Q77-1</f>
        <v>1.702064896755151E-2</v>
      </c>
      <c r="S78">
        <v>229.15</v>
      </c>
      <c r="T78" s="69">
        <f t="shared" ref="T78" si="149">S78/S77-1</f>
        <v>-1.736706689536871E-2</v>
      </c>
    </row>
    <row r="79" spans="12:20" x14ac:dyDescent="0.25">
      <c r="L79" s="59">
        <v>45340</v>
      </c>
      <c r="M79" s="32">
        <v>22212.7</v>
      </c>
      <c r="N79" s="69">
        <f t="shared" si="129"/>
        <v>-5.6426612948351496E-3</v>
      </c>
      <c r="O79">
        <v>308.98</v>
      </c>
      <c r="P79" s="69">
        <f t="shared" si="129"/>
        <v>-8.5673030643348413E-3</v>
      </c>
      <c r="Q79">
        <v>351.73</v>
      </c>
      <c r="R79" s="69">
        <f t="shared" ref="R79" si="150">Q79/Q78-1</f>
        <v>2.0187371291005674E-2</v>
      </c>
      <c r="S79">
        <v>245.85</v>
      </c>
      <c r="T79" s="69">
        <f t="shared" ref="T79" si="151">S79/S78-1</f>
        <v>7.2878027492908615E-2</v>
      </c>
    </row>
    <row r="80" spans="12:20" x14ac:dyDescent="0.25">
      <c r="L80" s="59">
        <v>45333</v>
      </c>
      <c r="M80" s="32">
        <v>22040.7</v>
      </c>
      <c r="N80" s="69">
        <f t="shared" si="129"/>
        <v>-7.7433180117680855E-3</v>
      </c>
      <c r="O80">
        <v>327.3</v>
      </c>
      <c r="P80" s="69">
        <f t="shared" si="129"/>
        <v>5.9291863551038881E-2</v>
      </c>
      <c r="Q80">
        <v>377.13</v>
      </c>
      <c r="R80" s="69">
        <f t="shared" ref="R80" si="152">Q80/Q79-1</f>
        <v>7.2214482699798133E-2</v>
      </c>
      <c r="S80">
        <v>241.05</v>
      </c>
      <c r="T80" s="69">
        <f t="shared" ref="T80" si="153">S80/S79-1</f>
        <v>-1.9524100061012795E-2</v>
      </c>
    </row>
    <row r="81" spans="12:20" x14ac:dyDescent="0.25">
      <c r="L81" s="59">
        <v>45326</v>
      </c>
      <c r="M81" s="32">
        <v>21782.5</v>
      </c>
      <c r="N81" s="69">
        <f t="shared" si="129"/>
        <v>-1.1714691457167858E-2</v>
      </c>
      <c r="O81">
        <v>307.14999999999998</v>
      </c>
      <c r="P81" s="69">
        <f t="shared" si="129"/>
        <v>-6.1564314084937455E-2</v>
      </c>
      <c r="Q81">
        <v>340.13</v>
      </c>
      <c r="R81" s="69">
        <f t="shared" ref="R81" si="154">Q81/Q80-1</f>
        <v>-9.8109405244875769E-2</v>
      </c>
      <c r="S81">
        <v>189.6</v>
      </c>
      <c r="T81" s="69">
        <f t="shared" ref="T81" si="155">S81/S80-1</f>
        <v>-0.21344119477286871</v>
      </c>
    </row>
    <row r="82" spans="12:20" x14ac:dyDescent="0.25">
      <c r="L82" s="59">
        <v>45319</v>
      </c>
      <c r="M82" s="32">
        <v>21853.8</v>
      </c>
      <c r="N82" s="69">
        <f t="shared" si="129"/>
        <v>3.273269826695735E-3</v>
      </c>
      <c r="O82">
        <v>279.17</v>
      </c>
      <c r="P82" s="69">
        <f t="shared" si="129"/>
        <v>-9.1095555917304116E-2</v>
      </c>
      <c r="Q82">
        <v>325.89999999999998</v>
      </c>
      <c r="R82" s="69">
        <f t="shared" ref="R82" si="156">Q82/Q81-1</f>
        <v>-4.1836944697615674E-2</v>
      </c>
      <c r="S82">
        <v>191.6</v>
      </c>
      <c r="T82" s="69">
        <f t="shared" ref="T82" si="157">S82/S81-1</f>
        <v>1.0548523206751037E-2</v>
      </c>
    </row>
    <row r="83" spans="12:20" x14ac:dyDescent="0.25">
      <c r="L83" s="59">
        <v>45312</v>
      </c>
      <c r="M83" s="32">
        <v>21352.6</v>
      </c>
      <c r="N83" s="69">
        <f t="shared" si="129"/>
        <v>-2.2934226541837188E-2</v>
      </c>
      <c r="O83">
        <v>237.2</v>
      </c>
      <c r="P83" s="69">
        <f t="shared" si="129"/>
        <v>-0.15033850342085475</v>
      </c>
      <c r="Q83">
        <v>287.07</v>
      </c>
      <c r="R83" s="69">
        <f t="shared" ref="R83" si="158">Q83/Q82-1</f>
        <v>-0.11914697760049087</v>
      </c>
      <c r="S83">
        <v>174.4</v>
      </c>
      <c r="T83" s="69">
        <f t="shared" ref="T83" si="159">S83/S82-1</f>
        <v>-8.9770354906054228E-2</v>
      </c>
    </row>
    <row r="84" spans="12:20" x14ac:dyDescent="0.25">
      <c r="L84" s="59">
        <v>45305</v>
      </c>
      <c r="M84" s="32">
        <v>21622.400000000001</v>
      </c>
      <c r="N84" s="69">
        <f t="shared" si="129"/>
        <v>1.2635463596939234E-2</v>
      </c>
      <c r="O84">
        <v>240.48</v>
      </c>
      <c r="P84" s="69">
        <f t="shared" si="129"/>
        <v>1.3827993254637461E-2</v>
      </c>
      <c r="Q84">
        <v>310.5</v>
      </c>
      <c r="R84" s="69">
        <f t="shared" ref="R84" si="160">Q84/Q83-1</f>
        <v>8.1617723900094141E-2</v>
      </c>
      <c r="S84">
        <v>177</v>
      </c>
      <c r="T84" s="69">
        <f t="shared" ref="T84" si="161">S84/S83-1</f>
        <v>1.4908256880733939E-2</v>
      </c>
    </row>
    <row r="85" spans="12:20" x14ac:dyDescent="0.25">
      <c r="L85" s="59">
        <v>45298</v>
      </c>
      <c r="M85" s="32">
        <v>21894.55</v>
      </c>
      <c r="N85" s="69">
        <f t="shared" si="129"/>
        <v>1.2586484386561958E-2</v>
      </c>
      <c r="O85">
        <v>229.13</v>
      </c>
      <c r="P85" s="69">
        <f t="shared" si="129"/>
        <v>-4.7197272122421752E-2</v>
      </c>
      <c r="Q85">
        <v>300.52999999999997</v>
      </c>
      <c r="R85" s="69">
        <f t="shared" ref="R85" si="162">Q85/Q84-1</f>
        <v>-3.2109500805153068E-2</v>
      </c>
      <c r="S85">
        <v>159.30000000000001</v>
      </c>
      <c r="T85" s="69">
        <f t="shared" ref="T85" si="163">S85/S84-1</f>
        <v>-9.9999999999999978E-2</v>
      </c>
    </row>
    <row r="86" spans="12:20" x14ac:dyDescent="0.25">
      <c r="L86" s="59">
        <v>45291</v>
      </c>
      <c r="M86" s="32">
        <v>21710.799999999999</v>
      </c>
      <c r="N86" s="69">
        <f t="shared" si="129"/>
        <v>-8.3924995033010097E-3</v>
      </c>
      <c r="O86">
        <v>226.55</v>
      </c>
      <c r="P86" s="69">
        <f t="shared" si="129"/>
        <v>-1.1259983415528252E-2</v>
      </c>
      <c r="Q86">
        <v>280</v>
      </c>
      <c r="R86" s="69">
        <f t="shared" ref="R86" si="164">Q86/Q85-1</f>
        <v>-6.8312647655808023E-2</v>
      </c>
      <c r="S86">
        <v>134.15</v>
      </c>
      <c r="T86" s="69">
        <f t="shared" ref="T86" si="165">S86/S85-1</f>
        <v>-0.15787821720025108</v>
      </c>
    </row>
    <row r="87" spans="12:20" x14ac:dyDescent="0.25">
      <c r="L87" s="59">
        <v>45284</v>
      </c>
      <c r="M87" s="32">
        <v>21731.4</v>
      </c>
      <c r="N87" s="69">
        <f t="shared" si="129"/>
        <v>9.4883652375776784E-4</v>
      </c>
      <c r="O87">
        <v>225.32</v>
      </c>
      <c r="P87" s="69">
        <f t="shared" si="129"/>
        <v>-5.4292650629000905E-3</v>
      </c>
      <c r="Q87">
        <v>265.93</v>
      </c>
      <c r="R87" s="69">
        <f t="shared" ref="R87" si="166">Q87/Q86-1</f>
        <v>-5.0250000000000017E-2</v>
      </c>
      <c r="S87">
        <v>133.15</v>
      </c>
      <c r="T87" s="69">
        <f t="shared" ref="T87" si="167">S87/S86-1</f>
        <v>-7.4543421543048494E-3</v>
      </c>
    </row>
    <row r="88" spans="12:20" x14ac:dyDescent="0.25">
      <c r="L88" s="59">
        <v>45277</v>
      </c>
      <c r="M88" s="32">
        <v>21349.4</v>
      </c>
      <c r="N88" s="69">
        <f t="shared" si="129"/>
        <v>-1.7578250825993735E-2</v>
      </c>
      <c r="O88">
        <v>223.32</v>
      </c>
      <c r="P88" s="69">
        <f t="shared" si="129"/>
        <v>-8.8762648677436218E-3</v>
      </c>
      <c r="Q88">
        <v>246.2</v>
      </c>
      <c r="R88" s="69">
        <f t="shared" ref="R88" si="168">Q88/Q87-1</f>
        <v>-7.4192456661527517E-2</v>
      </c>
      <c r="S88">
        <v>129.94999999999999</v>
      </c>
      <c r="T88" s="69">
        <f t="shared" ref="T88" si="169">S88/S87-1</f>
        <v>-2.4033045437476641E-2</v>
      </c>
    </row>
    <row r="89" spans="12:20" x14ac:dyDescent="0.25">
      <c r="L89" s="59">
        <v>45270</v>
      </c>
      <c r="M89" s="32">
        <v>21456.65</v>
      </c>
      <c r="N89" s="69">
        <f t="shared" si="129"/>
        <v>5.023560381087977E-3</v>
      </c>
      <c r="O89">
        <v>224.5</v>
      </c>
      <c r="P89" s="69">
        <f t="shared" si="129"/>
        <v>5.2838975461222404E-3</v>
      </c>
      <c r="Q89">
        <v>255.93</v>
      </c>
      <c r="R89" s="69">
        <f t="shared" ref="R89" si="170">Q89/Q88-1</f>
        <v>3.9520714865962647E-2</v>
      </c>
      <c r="S89">
        <v>129.6</v>
      </c>
      <c r="T89" s="69">
        <f t="shared" ref="T89" si="171">S89/S88-1</f>
        <v>-2.6933435936898897E-3</v>
      </c>
    </row>
    <row r="90" spans="12:20" x14ac:dyDescent="0.25">
      <c r="L90" s="59">
        <v>45263</v>
      </c>
      <c r="M90" s="32">
        <v>20969.400000000001</v>
      </c>
      <c r="N90" s="69">
        <f t="shared" si="129"/>
        <v>-2.2708577527246754E-2</v>
      </c>
      <c r="O90">
        <v>235.23</v>
      </c>
      <c r="P90" s="69">
        <f t="shared" si="129"/>
        <v>4.7795100222717046E-2</v>
      </c>
      <c r="Q90">
        <v>251.67</v>
      </c>
      <c r="R90" s="69">
        <f t="shared" ref="R90" si="172">Q90/Q89-1</f>
        <v>-1.6645176415426177E-2</v>
      </c>
      <c r="S90">
        <v>127.95</v>
      </c>
      <c r="T90" s="69">
        <f t="shared" ref="T90" si="173">S90/S89-1</f>
        <v>-1.2731481481481399E-2</v>
      </c>
    </row>
    <row r="91" spans="12:20" x14ac:dyDescent="0.25">
      <c r="L91" s="59">
        <v>45256</v>
      </c>
      <c r="M91" s="32">
        <v>20267.900000000001</v>
      </c>
      <c r="N91" s="69">
        <f t="shared" si="129"/>
        <v>-3.3453508445639879E-2</v>
      </c>
      <c r="O91">
        <v>219</v>
      </c>
      <c r="P91" s="69">
        <f t="shared" si="129"/>
        <v>-6.899630149215652E-2</v>
      </c>
      <c r="Q91">
        <v>230.37</v>
      </c>
      <c r="R91" s="69">
        <f t="shared" ref="R91" si="174">Q91/Q90-1</f>
        <v>-8.4634640600786626E-2</v>
      </c>
      <c r="S91">
        <v>121.8</v>
      </c>
      <c r="T91" s="69">
        <f t="shared" ref="T91" si="175">S91/S90-1</f>
        <v>-4.8065650644783187E-2</v>
      </c>
    </row>
    <row r="92" spans="12:20" x14ac:dyDescent="0.25">
      <c r="L92" s="59">
        <v>45249</v>
      </c>
      <c r="M92" s="32">
        <v>19794.7</v>
      </c>
      <c r="N92" s="69">
        <f t="shared" si="129"/>
        <v>-2.3347263406667706E-2</v>
      </c>
      <c r="O92">
        <v>205.3</v>
      </c>
      <c r="P92" s="69">
        <f t="shared" si="129"/>
        <v>-6.2557077625570723E-2</v>
      </c>
      <c r="Q92">
        <v>213.47</v>
      </c>
      <c r="R92" s="69">
        <f t="shared" ref="R92" si="176">Q92/Q91-1</f>
        <v>-7.3360246559881936E-2</v>
      </c>
      <c r="S92">
        <v>118.9</v>
      </c>
      <c r="T92" s="69">
        <f t="shared" ref="T92" si="177">S92/S91-1</f>
        <v>-2.3809523809523725E-2</v>
      </c>
    </row>
    <row r="93" spans="12:20" x14ac:dyDescent="0.25">
      <c r="L93" s="59">
        <v>45242</v>
      </c>
      <c r="M93" s="32">
        <v>19731.8</v>
      </c>
      <c r="N93" s="69">
        <f t="shared" si="129"/>
        <v>-3.1776182513502116E-3</v>
      </c>
      <c r="O93">
        <v>195.13</v>
      </c>
      <c r="P93" s="69">
        <f t="shared" si="129"/>
        <v>-4.9537262542620586E-2</v>
      </c>
      <c r="Q93">
        <v>206.67</v>
      </c>
      <c r="R93" s="69">
        <f t="shared" ref="R93" si="178">Q93/Q92-1</f>
        <v>-3.1854593151262489E-2</v>
      </c>
      <c r="S93">
        <v>117.85</v>
      </c>
      <c r="T93" s="69">
        <f t="shared" ref="T93" si="179">S93/S92-1</f>
        <v>-8.830950378469371E-3</v>
      </c>
    </row>
    <row r="94" spans="12:20" x14ac:dyDescent="0.25">
      <c r="L94" s="59">
        <v>45235</v>
      </c>
      <c r="M94" s="32">
        <v>19425.349999999999</v>
      </c>
      <c r="N94" s="69">
        <f t="shared" si="129"/>
        <v>-1.5530767593427863E-2</v>
      </c>
      <c r="O94">
        <v>192.02</v>
      </c>
      <c r="P94" s="69">
        <f t="shared" si="129"/>
        <v>-1.5938092553682059E-2</v>
      </c>
      <c r="Q94">
        <v>199.7</v>
      </c>
      <c r="R94" s="69">
        <f t="shared" ref="R94" si="180">Q94/Q93-1</f>
        <v>-3.3725262495766239E-2</v>
      </c>
      <c r="S94">
        <v>113.75</v>
      </c>
      <c r="T94" s="69">
        <f t="shared" ref="T94" si="181">S94/S93-1</f>
        <v>-3.4789987271955813E-2</v>
      </c>
    </row>
    <row r="95" spans="12:20" x14ac:dyDescent="0.25">
      <c r="L95" s="59">
        <v>45228</v>
      </c>
      <c r="M95" s="32">
        <v>19230.599999999999</v>
      </c>
      <c r="N95" s="69">
        <f t="shared" si="129"/>
        <v>-1.0025559385030358E-2</v>
      </c>
      <c r="O95">
        <v>180.75</v>
      </c>
      <c r="P95" s="69">
        <f t="shared" si="129"/>
        <v>-5.8691802937194115E-2</v>
      </c>
      <c r="Q95">
        <v>171.7</v>
      </c>
      <c r="R95" s="69">
        <f t="shared" ref="R95" si="182">Q95/Q94-1</f>
        <v>-0.14021031547320983</v>
      </c>
      <c r="S95">
        <v>109.9</v>
      </c>
      <c r="T95" s="69">
        <f t="shared" ref="T95" si="183">S95/S94-1</f>
        <v>-3.3846153846153748E-2</v>
      </c>
    </row>
    <row r="96" spans="12:20" x14ac:dyDescent="0.25">
      <c r="L96" s="59">
        <v>45221</v>
      </c>
      <c r="M96" s="32">
        <v>19047.25</v>
      </c>
      <c r="N96" s="69">
        <f t="shared" si="129"/>
        <v>-9.5342839016983039E-3</v>
      </c>
      <c r="O96">
        <v>167.48</v>
      </c>
      <c r="P96" s="69">
        <f t="shared" si="129"/>
        <v>-7.3416320885200559E-2</v>
      </c>
      <c r="Q96">
        <v>162.37</v>
      </c>
      <c r="R96" s="69">
        <f t="shared" ref="R96" si="184">Q96/Q95-1</f>
        <v>-5.43389633080954E-2</v>
      </c>
      <c r="S96">
        <v>100.1</v>
      </c>
      <c r="T96" s="69">
        <f t="shared" ref="T96" si="185">S96/S95-1</f>
        <v>-8.9171974522293085E-2</v>
      </c>
    </row>
    <row r="97" spans="12:20" x14ac:dyDescent="0.25">
      <c r="L97" s="59">
        <v>45214</v>
      </c>
      <c r="M97" s="32">
        <v>19542.650000000001</v>
      </c>
      <c r="N97" s="69">
        <f t="shared" si="129"/>
        <v>2.6009003924451157E-2</v>
      </c>
      <c r="O97">
        <v>173.2</v>
      </c>
      <c r="P97" s="69">
        <f t="shared" si="129"/>
        <v>3.4153331741103354E-2</v>
      </c>
      <c r="Q97">
        <v>168.47</v>
      </c>
      <c r="R97" s="69">
        <f t="shared" ref="R97" si="186">Q97/Q96-1</f>
        <v>3.756851635154268E-2</v>
      </c>
      <c r="S97">
        <v>102.7</v>
      </c>
      <c r="T97" s="69">
        <f t="shared" ref="T97" si="187">S97/S96-1</f>
        <v>2.5974025974025983E-2</v>
      </c>
    </row>
    <row r="98" spans="12:20" x14ac:dyDescent="0.25">
      <c r="L98" s="59">
        <v>45207</v>
      </c>
      <c r="M98" s="32">
        <v>19751.05</v>
      </c>
      <c r="N98" s="69">
        <f t="shared" si="129"/>
        <v>1.0663855720692839E-2</v>
      </c>
      <c r="O98">
        <v>173.85</v>
      </c>
      <c r="P98" s="69">
        <f t="shared" si="129"/>
        <v>3.7528868360277023E-3</v>
      </c>
      <c r="Q98">
        <v>170.97</v>
      </c>
      <c r="R98" s="69">
        <f t="shared" ref="R98" si="188">Q98/Q97-1</f>
        <v>1.4839437288538093E-2</v>
      </c>
      <c r="S98">
        <v>101</v>
      </c>
      <c r="T98" s="69">
        <f t="shared" ref="T98" si="189">S98/S97-1</f>
        <v>-1.6553067185978598E-2</v>
      </c>
    </row>
    <row r="99" spans="12:20" x14ac:dyDescent="0.25">
      <c r="L99" s="59">
        <v>45200</v>
      </c>
      <c r="M99" s="32">
        <v>19653.5</v>
      </c>
      <c r="N99" s="69">
        <f t="shared" si="129"/>
        <v>-4.9389779277556611E-3</v>
      </c>
      <c r="O99">
        <v>173.6</v>
      </c>
      <c r="P99" s="69">
        <f t="shared" si="129"/>
        <v>-1.4380212827149741E-3</v>
      </c>
      <c r="Q99">
        <v>171.83</v>
      </c>
      <c r="R99" s="69">
        <f t="shared" ref="R99" si="190">Q99/Q98-1</f>
        <v>5.030122243668611E-3</v>
      </c>
      <c r="S99">
        <v>96.45</v>
      </c>
      <c r="T99" s="69">
        <f t="shared" ref="T99" si="191">S99/S98-1</f>
        <v>-4.5049504950494978E-2</v>
      </c>
    </row>
    <row r="100" spans="12:20" x14ac:dyDescent="0.25">
      <c r="L100" s="59">
        <v>45193</v>
      </c>
      <c r="M100" s="32">
        <v>19638.3</v>
      </c>
      <c r="N100" s="69">
        <f t="shared" si="129"/>
        <v>-7.7339914010232658E-4</v>
      </c>
      <c r="O100">
        <v>173.3</v>
      </c>
      <c r="P100" s="69">
        <f t="shared" si="129"/>
        <v>-1.7281105990782919E-3</v>
      </c>
      <c r="Q100">
        <v>169.97</v>
      </c>
      <c r="R100" s="69">
        <f t="shared" ref="R100" si="192">Q100/Q99-1</f>
        <v>-1.0824652272595103E-2</v>
      </c>
      <c r="S100">
        <v>95.6</v>
      </c>
      <c r="T100" s="69">
        <f t="shared" ref="T100" si="193">S100/S99-1</f>
        <v>-8.8128564022810219E-3</v>
      </c>
    </row>
    <row r="101" spans="12:20" x14ac:dyDescent="0.25">
      <c r="L101" s="59">
        <v>45186</v>
      </c>
      <c r="M101" s="32">
        <v>19674.25</v>
      </c>
      <c r="N101" s="69">
        <f t="shared" si="129"/>
        <v>1.8306065188942178E-3</v>
      </c>
      <c r="O101">
        <v>175.98</v>
      </c>
      <c r="P101" s="69">
        <f t="shared" si="129"/>
        <v>1.5464512406231812E-2</v>
      </c>
      <c r="Q101">
        <v>173.97</v>
      </c>
      <c r="R101" s="69">
        <f t="shared" ref="R101" si="194">Q101/Q100-1</f>
        <v>2.3533564746720081E-2</v>
      </c>
      <c r="S101">
        <v>94.45</v>
      </c>
      <c r="T101" s="69">
        <f t="shared" ref="T101" si="195">S101/S100-1</f>
        <v>-1.2029288702928742E-2</v>
      </c>
    </row>
    <row r="102" spans="12:20" x14ac:dyDescent="0.25">
      <c r="L102" s="59">
        <v>45179</v>
      </c>
      <c r="M102" s="32">
        <v>20192.349999999999</v>
      </c>
      <c r="N102" s="69">
        <f t="shared" si="129"/>
        <v>2.6333913618054039E-2</v>
      </c>
      <c r="O102">
        <v>176.13</v>
      </c>
      <c r="P102" s="69">
        <f t="shared" si="129"/>
        <v>8.5236958745316116E-4</v>
      </c>
      <c r="Q102">
        <v>168.17</v>
      </c>
      <c r="R102" s="69">
        <f t="shared" ref="R102" si="196">Q102/Q101-1</f>
        <v>-3.333908145082487E-2</v>
      </c>
      <c r="S102">
        <v>94.1</v>
      </c>
      <c r="T102" s="69">
        <f t="shared" ref="T102" si="197">S102/S101-1</f>
        <v>-3.7056643726840477E-3</v>
      </c>
    </row>
    <row r="103" spans="12:20" x14ac:dyDescent="0.25">
      <c r="L103" s="59">
        <v>45172</v>
      </c>
      <c r="M103" s="32">
        <v>19819.95</v>
      </c>
      <c r="N103" s="69">
        <f t="shared" si="129"/>
        <v>-1.8442628024969765E-2</v>
      </c>
      <c r="O103">
        <v>180.98</v>
      </c>
      <c r="P103" s="69">
        <f t="shared" si="129"/>
        <v>2.7536478737296255E-2</v>
      </c>
      <c r="Q103">
        <v>173.6</v>
      </c>
      <c r="R103" s="69">
        <f t="shared" ref="R103" si="198">Q103/Q102-1</f>
        <v>3.2288755426056914E-2</v>
      </c>
      <c r="S103">
        <v>94.75</v>
      </c>
      <c r="T103" s="69">
        <f t="shared" ref="T103" si="199">S103/S102-1</f>
        <v>6.907545164718476E-3</v>
      </c>
    </row>
    <row r="104" spans="12:20" x14ac:dyDescent="0.25">
      <c r="L104" s="59">
        <v>45165</v>
      </c>
      <c r="M104" s="32">
        <v>19435.3</v>
      </c>
      <c r="N104" s="69">
        <f t="shared" si="129"/>
        <v>-1.940721343898455E-2</v>
      </c>
      <c r="O104">
        <v>172.1</v>
      </c>
      <c r="P104" s="69">
        <f t="shared" si="129"/>
        <v>-4.9066195159686132E-2</v>
      </c>
      <c r="Q104">
        <v>166.83</v>
      </c>
      <c r="R104" s="69">
        <f t="shared" ref="R104" si="200">Q104/Q103-1</f>
        <v>-3.8997695852534431E-2</v>
      </c>
      <c r="S104">
        <v>96.35</v>
      </c>
      <c r="T104" s="69">
        <f t="shared" ref="T104" si="201">S104/S103-1</f>
        <v>1.6886543535620024E-2</v>
      </c>
    </row>
    <row r="105" spans="12:20" x14ac:dyDescent="0.25">
      <c r="L105" s="59">
        <v>45158</v>
      </c>
      <c r="M105" s="32">
        <v>19265.8</v>
      </c>
      <c r="N105" s="69">
        <f t="shared" si="129"/>
        <v>-8.7212443337638668E-3</v>
      </c>
      <c r="O105">
        <v>175.13</v>
      </c>
      <c r="P105" s="69">
        <f t="shared" si="129"/>
        <v>1.7606042998256743E-2</v>
      </c>
      <c r="Q105">
        <v>174.33</v>
      </c>
      <c r="R105" s="69">
        <f t="shared" ref="R105" si="202">Q105/Q104-1</f>
        <v>4.4955943175687851E-2</v>
      </c>
      <c r="S105">
        <v>93</v>
      </c>
      <c r="T105" s="69">
        <f t="shared" ref="T105" si="203">S105/S104-1</f>
        <v>-3.4769071094966186E-2</v>
      </c>
    </row>
    <row r="106" spans="12:20" x14ac:dyDescent="0.25">
      <c r="L106" s="59">
        <v>45151</v>
      </c>
      <c r="M106" s="32">
        <v>19310.150000000001</v>
      </c>
      <c r="N106" s="69">
        <f t="shared" si="129"/>
        <v>2.3020066646597392E-3</v>
      </c>
      <c r="O106">
        <v>176.45</v>
      </c>
      <c r="P106" s="69">
        <f t="shared" si="129"/>
        <v>7.5372580368868736E-3</v>
      </c>
      <c r="Q106">
        <v>174.1</v>
      </c>
      <c r="R106" s="69">
        <f t="shared" ref="R106" si="204">Q106/Q105-1</f>
        <v>-1.3193368898067881E-3</v>
      </c>
      <c r="S106">
        <v>85.75</v>
      </c>
      <c r="T106" s="69">
        <f t="shared" ref="T106" si="205">S106/S105-1</f>
        <v>-7.795698924731187E-2</v>
      </c>
    </row>
    <row r="107" spans="12:20" x14ac:dyDescent="0.25">
      <c r="L107" s="59">
        <v>45144</v>
      </c>
      <c r="M107" s="32">
        <v>19428.3</v>
      </c>
      <c r="N107" s="69">
        <f t="shared" si="129"/>
        <v>6.1185438745943177E-3</v>
      </c>
      <c r="O107">
        <v>178.77</v>
      </c>
      <c r="P107" s="69">
        <f t="shared" si="129"/>
        <v>1.314820062340627E-2</v>
      </c>
      <c r="Q107">
        <v>177.77</v>
      </c>
      <c r="R107" s="69">
        <f t="shared" ref="R107" si="206">Q107/Q106-1</f>
        <v>2.1079839172889248E-2</v>
      </c>
      <c r="S107">
        <v>86.7</v>
      </c>
      <c r="T107" s="69">
        <f t="shared" ref="T107" si="207">S107/S106-1</f>
        <v>1.1078717201166155E-2</v>
      </c>
    </row>
    <row r="108" spans="12:20" x14ac:dyDescent="0.25">
      <c r="L108" s="59">
        <v>45137</v>
      </c>
      <c r="M108" s="32">
        <v>19517</v>
      </c>
      <c r="N108" s="69">
        <f t="shared" si="129"/>
        <v>4.5655049592605579E-3</v>
      </c>
      <c r="O108">
        <v>180.2</v>
      </c>
      <c r="P108" s="69">
        <f t="shared" si="129"/>
        <v>7.9991049952452542E-3</v>
      </c>
      <c r="Q108">
        <v>177.8</v>
      </c>
      <c r="R108" s="69">
        <f t="shared" ref="R108" si="208">Q108/Q107-1</f>
        <v>1.6875738313548716E-4</v>
      </c>
      <c r="S108">
        <v>82.75</v>
      </c>
      <c r="T108" s="69">
        <f t="shared" ref="T108" si="209">S108/S107-1</f>
        <v>-4.5559400230680502E-2</v>
      </c>
    </row>
    <row r="109" spans="12:20" x14ac:dyDescent="0.25">
      <c r="L109" s="59">
        <v>45130</v>
      </c>
      <c r="M109" s="32">
        <v>19646.05</v>
      </c>
      <c r="N109" s="69">
        <f t="shared" si="129"/>
        <v>6.6121842496285055E-3</v>
      </c>
      <c r="O109">
        <v>186.73</v>
      </c>
      <c r="P109" s="69">
        <f t="shared" si="129"/>
        <v>3.6237513873473848E-2</v>
      </c>
      <c r="Q109">
        <v>186.27</v>
      </c>
      <c r="R109" s="69">
        <f t="shared" ref="R109" si="210">Q109/Q108-1</f>
        <v>4.7637795275590644E-2</v>
      </c>
      <c r="S109">
        <v>84.15</v>
      </c>
      <c r="T109" s="69">
        <f t="shared" ref="T109" si="211">S109/S108-1</f>
        <v>1.6918429003021318E-2</v>
      </c>
    </row>
    <row r="110" spans="12:20" x14ac:dyDescent="0.25">
      <c r="L110" s="59">
        <v>45123</v>
      </c>
      <c r="M110" s="32">
        <v>19745</v>
      </c>
      <c r="N110" s="69">
        <f t="shared" si="129"/>
        <v>5.0366358631888097E-3</v>
      </c>
      <c r="O110">
        <v>195.32</v>
      </c>
      <c r="P110" s="69">
        <f t="shared" si="129"/>
        <v>4.6002249236866133E-2</v>
      </c>
      <c r="Q110">
        <v>201.03</v>
      </c>
      <c r="R110" s="69">
        <f t="shared" ref="R110" si="212">Q110/Q109-1</f>
        <v>7.9239813174424079E-2</v>
      </c>
      <c r="S110">
        <v>86.65</v>
      </c>
      <c r="T110" s="69">
        <f t="shared" ref="T110" si="213">S110/S109-1</f>
        <v>2.9708853238264998E-2</v>
      </c>
    </row>
    <row r="111" spans="12:20" x14ac:dyDescent="0.25">
      <c r="L111" s="59">
        <v>45116</v>
      </c>
      <c r="M111" s="32">
        <v>19564.5</v>
      </c>
      <c r="N111" s="69">
        <f t="shared" si="129"/>
        <v>-9.1415548240060263E-3</v>
      </c>
      <c r="O111">
        <v>189.77</v>
      </c>
      <c r="P111" s="69">
        <f t="shared" si="129"/>
        <v>-2.8414908867499422E-2</v>
      </c>
      <c r="Q111">
        <v>191.6</v>
      </c>
      <c r="R111" s="69">
        <f t="shared" ref="R111" si="214">Q111/Q110-1</f>
        <v>-4.690842162861264E-2</v>
      </c>
      <c r="S111">
        <v>87</v>
      </c>
      <c r="T111" s="69">
        <f t="shared" ref="T111" si="215">S111/S110-1</f>
        <v>4.0392383150604783E-3</v>
      </c>
    </row>
    <row r="112" spans="12:20" x14ac:dyDescent="0.25">
      <c r="L112" s="59">
        <v>45109</v>
      </c>
      <c r="M112" s="32">
        <v>19331.8</v>
      </c>
      <c r="N112" s="69">
        <f t="shared" si="129"/>
        <v>-1.1893991668583404E-2</v>
      </c>
      <c r="O112">
        <v>195.82</v>
      </c>
      <c r="P112" s="69">
        <f t="shared" si="129"/>
        <v>3.1880697686673232E-2</v>
      </c>
      <c r="Q112">
        <v>203.97</v>
      </c>
      <c r="R112" s="69">
        <f t="shared" ref="R112" si="216">Q112/Q111-1</f>
        <v>6.4561586638830937E-2</v>
      </c>
      <c r="S112">
        <v>87.7</v>
      </c>
      <c r="T112" s="69">
        <f t="shared" ref="T112" si="217">S112/S111-1</f>
        <v>8.0459770114942319E-3</v>
      </c>
    </row>
    <row r="113" spans="12:20" x14ac:dyDescent="0.25">
      <c r="L113" s="59">
        <v>45102</v>
      </c>
      <c r="M113" s="32">
        <v>19189.05</v>
      </c>
      <c r="N113" s="69">
        <f t="shared" si="129"/>
        <v>-7.3842063336058139E-3</v>
      </c>
      <c r="O113">
        <v>182.35</v>
      </c>
      <c r="P113" s="69">
        <f t="shared" si="129"/>
        <v>-6.8787662138698802E-2</v>
      </c>
      <c r="Q113">
        <v>182.57</v>
      </c>
      <c r="R113" s="69">
        <f t="shared" ref="R113" si="218">Q113/Q112-1</f>
        <v>-0.10491738981222731</v>
      </c>
      <c r="S113">
        <v>77.05</v>
      </c>
      <c r="T113" s="69">
        <f t="shared" ref="T113" si="219">S113/S112-1</f>
        <v>-0.12143671607753714</v>
      </c>
    </row>
    <row r="114" spans="12:20" x14ac:dyDescent="0.25">
      <c r="L114" s="59">
        <v>45095</v>
      </c>
      <c r="M114" s="32">
        <v>18665.5</v>
      </c>
      <c r="N114" s="69">
        <f t="shared" si="129"/>
        <v>-2.7283789452838936E-2</v>
      </c>
      <c r="O114">
        <v>179.8</v>
      </c>
      <c r="P114" s="69">
        <f t="shared" si="129"/>
        <v>-1.3984096517685729E-2</v>
      </c>
      <c r="Q114">
        <v>179.63</v>
      </c>
      <c r="R114" s="69">
        <f t="shared" ref="R114" si="220">Q114/Q113-1</f>
        <v>-1.6103412389768312E-2</v>
      </c>
      <c r="S114">
        <v>76.7</v>
      </c>
      <c r="T114" s="69">
        <f t="shared" ref="T114" si="221">S114/S113-1</f>
        <v>-4.5425048669693879E-3</v>
      </c>
    </row>
    <row r="115" spans="12:20" x14ac:dyDescent="0.25">
      <c r="L115" s="59">
        <v>45088</v>
      </c>
      <c r="M115" s="32">
        <v>18826</v>
      </c>
      <c r="N115" s="69">
        <f t="shared" si="129"/>
        <v>8.598751707695973E-3</v>
      </c>
      <c r="O115">
        <v>188.4</v>
      </c>
      <c r="P115" s="69">
        <f t="shared" si="129"/>
        <v>4.7830923248053381E-2</v>
      </c>
      <c r="Q115">
        <v>182.27</v>
      </c>
      <c r="R115" s="69">
        <f t="shared" ref="R115" si="222">Q115/Q114-1</f>
        <v>1.4696876913655954E-2</v>
      </c>
      <c r="S115">
        <v>71.8</v>
      </c>
      <c r="T115" s="69">
        <f t="shared" ref="T115" si="223">S115/S114-1</f>
        <v>-6.3885267275097801E-2</v>
      </c>
    </row>
    <row r="116" spans="12:20" x14ac:dyDescent="0.25">
      <c r="L116" s="59">
        <v>45081</v>
      </c>
      <c r="M116" s="32">
        <v>18563.400000000001</v>
      </c>
      <c r="N116" s="69">
        <f t="shared" si="129"/>
        <v>-1.3948794220758454E-2</v>
      </c>
      <c r="O116">
        <v>179.73</v>
      </c>
      <c r="P116" s="69">
        <f t="shared" si="129"/>
        <v>-4.6019108280254906E-2</v>
      </c>
      <c r="Q116">
        <v>174.8</v>
      </c>
      <c r="R116" s="69">
        <f t="shared" ref="R116" si="224">Q116/Q115-1</f>
        <v>-4.0983156855214808E-2</v>
      </c>
      <c r="S116">
        <v>64.599999999999994</v>
      </c>
      <c r="T116" s="69">
        <f t="shared" ref="T116" si="225">S116/S115-1</f>
        <v>-0.10027855153203347</v>
      </c>
    </row>
    <row r="117" spans="12:20" x14ac:dyDescent="0.25">
      <c r="L117" s="59">
        <v>45074</v>
      </c>
      <c r="M117" s="32">
        <v>18534.099999999999</v>
      </c>
      <c r="N117" s="69">
        <f t="shared" si="129"/>
        <v>-1.5783746511954799E-3</v>
      </c>
      <c r="O117">
        <v>180.02</v>
      </c>
      <c r="P117" s="69">
        <f t="shared" si="129"/>
        <v>1.6135314082235119E-3</v>
      </c>
      <c r="Q117">
        <v>172.37</v>
      </c>
      <c r="R117" s="69">
        <f t="shared" ref="R117" si="226">Q117/Q116-1</f>
        <v>-1.390160183066369E-2</v>
      </c>
      <c r="S117">
        <v>64.650000000000006</v>
      </c>
      <c r="T117" s="69">
        <f t="shared" ref="T117" si="227">S117/S116-1</f>
        <v>7.7399380804976659E-4</v>
      </c>
    </row>
    <row r="118" spans="12:20" x14ac:dyDescent="0.25">
      <c r="L118" s="59">
        <v>45067</v>
      </c>
      <c r="M118" s="32">
        <v>18499.349999999999</v>
      </c>
      <c r="N118" s="69">
        <f t="shared" si="129"/>
        <v>-1.874922440258775E-3</v>
      </c>
      <c r="O118">
        <v>182.15</v>
      </c>
      <c r="P118" s="69">
        <f t="shared" si="129"/>
        <v>1.1832018664592825E-2</v>
      </c>
      <c r="Q118">
        <v>172.37</v>
      </c>
      <c r="R118" s="69">
        <f t="shared" ref="R118" si="228">Q118/Q117-1</f>
        <v>0</v>
      </c>
      <c r="S118">
        <v>66.45</v>
      </c>
      <c r="T118" s="69">
        <f t="shared" ref="T118" si="229">S118/S117-1</f>
        <v>2.7842227378190199E-2</v>
      </c>
    </row>
    <row r="119" spans="12:20" x14ac:dyDescent="0.25">
      <c r="L119" s="59">
        <v>45060</v>
      </c>
      <c r="M119" s="32">
        <v>18203.400000000001</v>
      </c>
      <c r="N119" s="69">
        <f t="shared" si="129"/>
        <v>-1.599785938424847E-2</v>
      </c>
      <c r="O119">
        <v>180.15</v>
      </c>
      <c r="P119" s="69">
        <f t="shared" si="129"/>
        <v>-1.0979961570134478E-2</v>
      </c>
      <c r="Q119">
        <v>170.9</v>
      </c>
      <c r="R119" s="69">
        <f t="shared" ref="R119" si="230">Q119/Q118-1</f>
        <v>-8.5281661542031539E-3</v>
      </c>
      <c r="S119">
        <v>64.95</v>
      </c>
      <c r="T119" s="69">
        <f t="shared" ref="T119" si="231">S119/S118-1</f>
        <v>-2.2573363431151239E-2</v>
      </c>
    </row>
    <row r="120" spans="12:20" x14ac:dyDescent="0.25">
      <c r="L120" s="59">
        <v>45053</v>
      </c>
      <c r="M120" s="32">
        <v>18314.8</v>
      </c>
      <c r="N120" s="69">
        <f t="shared" si="129"/>
        <v>6.1197358735181062E-3</v>
      </c>
      <c r="O120">
        <v>180.95</v>
      </c>
      <c r="P120" s="69">
        <f t="shared" si="129"/>
        <v>4.4407438245905873E-3</v>
      </c>
      <c r="Q120">
        <v>173.83</v>
      </c>
      <c r="R120" s="69">
        <f t="shared" ref="R120" si="232">Q120/Q119-1</f>
        <v>1.7144528964306627E-2</v>
      </c>
      <c r="S120">
        <v>62.6</v>
      </c>
      <c r="T120" s="69">
        <f t="shared" ref="T120" si="233">S120/S119-1</f>
        <v>-3.6181678214010748E-2</v>
      </c>
    </row>
    <row r="121" spans="12:20" x14ac:dyDescent="0.25">
      <c r="L121" s="59">
        <v>45046</v>
      </c>
      <c r="M121" s="32">
        <v>18069</v>
      </c>
      <c r="N121" s="69">
        <f t="shared" si="129"/>
        <v>-1.3420839976412524E-2</v>
      </c>
      <c r="O121">
        <v>182.73</v>
      </c>
      <c r="P121" s="69">
        <f t="shared" si="129"/>
        <v>9.8369715390991264E-3</v>
      </c>
      <c r="Q121">
        <v>169.33</v>
      </c>
      <c r="R121" s="69">
        <f t="shared" ref="R121" si="234">Q121/Q120-1</f>
        <v>-2.5887361214980142E-2</v>
      </c>
      <c r="S121">
        <v>61.05</v>
      </c>
      <c r="T121" s="69">
        <f t="shared" ref="T121" si="235">S121/S120-1</f>
        <v>-2.4760383386581486E-2</v>
      </c>
    </row>
    <row r="122" spans="12:20" x14ac:dyDescent="0.25">
      <c r="L122" s="59">
        <v>45039</v>
      </c>
      <c r="M122" s="32">
        <v>18065</v>
      </c>
      <c r="N122" s="69">
        <f t="shared" si="129"/>
        <v>-2.2137362333274346E-4</v>
      </c>
      <c r="O122">
        <v>178.8</v>
      </c>
      <c r="P122" s="69">
        <f t="shared" si="129"/>
        <v>-2.1507141684452336E-2</v>
      </c>
      <c r="Q122">
        <v>167.5</v>
      </c>
      <c r="R122" s="69">
        <f t="shared" ref="R122" si="236">Q122/Q121-1</f>
        <v>-1.0807299356286659E-2</v>
      </c>
      <c r="S122">
        <v>64.25</v>
      </c>
      <c r="T122" s="69">
        <f t="shared" ref="T122" si="237">S122/S121-1</f>
        <v>5.2416052416052406E-2</v>
      </c>
    </row>
    <row r="123" spans="12:20" x14ac:dyDescent="0.25">
      <c r="L123" s="59">
        <v>45032</v>
      </c>
      <c r="M123" s="32">
        <v>17624.05</v>
      </c>
      <c r="N123" s="69">
        <f t="shared" si="129"/>
        <v>-2.4409078328259115E-2</v>
      </c>
      <c r="O123">
        <v>173.1</v>
      </c>
      <c r="P123" s="69">
        <f t="shared" si="129"/>
        <v>-3.1879194630872631E-2</v>
      </c>
      <c r="Q123">
        <v>161.19999999999999</v>
      </c>
      <c r="R123" s="69">
        <f t="shared" ref="R123" si="238">Q123/Q122-1</f>
        <v>-3.7611940298507562E-2</v>
      </c>
      <c r="S123">
        <v>53.25</v>
      </c>
      <c r="T123" s="69">
        <f t="shared" ref="T123" si="239">S123/S122-1</f>
        <v>-0.1712062256809338</v>
      </c>
    </row>
    <row r="124" spans="12:20" x14ac:dyDescent="0.25">
      <c r="L124" s="59">
        <v>45025</v>
      </c>
      <c r="M124" s="32">
        <v>17828</v>
      </c>
      <c r="N124" s="69">
        <f t="shared" si="129"/>
        <v>1.15722549584234E-2</v>
      </c>
      <c r="O124">
        <v>166.13</v>
      </c>
      <c r="P124" s="69">
        <f t="shared" si="129"/>
        <v>-4.0265742345465094E-2</v>
      </c>
      <c r="Q124">
        <v>150</v>
      </c>
      <c r="R124" s="69">
        <f t="shared" ref="R124" si="240">Q124/Q123-1</f>
        <v>-6.9478908188585597E-2</v>
      </c>
      <c r="S124">
        <v>53.3</v>
      </c>
      <c r="T124" s="69">
        <f t="shared" ref="T124" si="241">S124/S123-1</f>
        <v>9.3896713615015948E-4</v>
      </c>
    </row>
    <row r="125" spans="12:20" x14ac:dyDescent="0.25">
      <c r="L125" s="59">
        <v>45018</v>
      </c>
      <c r="M125" s="32">
        <v>17599.150000000001</v>
      </c>
      <c r="N125" s="69">
        <f t="shared" si="129"/>
        <v>-1.2836549248373297E-2</v>
      </c>
      <c r="O125">
        <v>166</v>
      </c>
      <c r="P125" s="69">
        <f t="shared" si="129"/>
        <v>-7.8251971347742533E-4</v>
      </c>
      <c r="Q125">
        <v>151.93</v>
      </c>
      <c r="R125" s="69">
        <f t="shared" ref="R125" si="242">Q125/Q124-1</f>
        <v>1.2866666666666804E-2</v>
      </c>
      <c r="S125">
        <v>54.25</v>
      </c>
      <c r="T125" s="69">
        <f t="shared" ref="T125" si="243">S125/S124-1</f>
        <v>1.7823639774859235E-2</v>
      </c>
    </row>
    <row r="126" spans="12:20" x14ac:dyDescent="0.25">
      <c r="L126" s="59">
        <v>45011</v>
      </c>
      <c r="M126" s="32">
        <v>17359.75</v>
      </c>
      <c r="N126" s="69">
        <f t="shared" si="129"/>
        <v>-1.3602929686945209E-2</v>
      </c>
      <c r="O126">
        <v>172.15</v>
      </c>
      <c r="P126" s="69">
        <f t="shared" si="129"/>
        <v>3.7048192771084398E-2</v>
      </c>
      <c r="Q126">
        <v>157.87</v>
      </c>
      <c r="R126" s="69">
        <f t="shared" ref="R126" si="244">Q126/Q125-1</f>
        <v>3.9096952543934638E-2</v>
      </c>
      <c r="S126">
        <v>52.55</v>
      </c>
      <c r="T126" s="69">
        <f t="shared" ref="T126" si="245">S126/S125-1</f>
        <v>-3.1336405529953981E-2</v>
      </c>
    </row>
    <row r="127" spans="12:20" x14ac:dyDescent="0.25">
      <c r="L127" s="59">
        <v>45004</v>
      </c>
      <c r="M127" s="32">
        <v>16945.05</v>
      </c>
      <c r="N127" s="69">
        <f t="shared" si="129"/>
        <v>-2.388859286568068E-2</v>
      </c>
      <c r="O127">
        <v>172.7</v>
      </c>
      <c r="P127" s="69">
        <f t="shared" si="129"/>
        <v>3.1948881789136685E-3</v>
      </c>
      <c r="Q127">
        <v>159.22999999999999</v>
      </c>
      <c r="R127" s="69">
        <f t="shared" ref="R127" si="246">Q127/Q126-1</f>
        <v>8.6146829669979663E-3</v>
      </c>
      <c r="S127">
        <v>52.6</v>
      </c>
      <c r="T127" s="69">
        <f t="shared" ref="T127" si="247">S127/S126-1</f>
        <v>9.5147478591828261E-4</v>
      </c>
    </row>
    <row r="128" spans="12:20" x14ac:dyDescent="0.25">
      <c r="L128" s="59">
        <v>44997</v>
      </c>
      <c r="M128" s="32">
        <v>17100.05</v>
      </c>
      <c r="N128" s="69">
        <f t="shared" si="129"/>
        <v>9.1472140831687643E-3</v>
      </c>
      <c r="O128">
        <v>175.7</v>
      </c>
      <c r="P128" s="69">
        <f t="shared" si="129"/>
        <v>1.7371163867979211E-2</v>
      </c>
      <c r="Q128">
        <v>161.69999999999999</v>
      </c>
      <c r="R128" s="69">
        <f t="shared" ref="R128" si="248">Q128/Q127-1</f>
        <v>1.5512152232619369E-2</v>
      </c>
      <c r="S128">
        <v>59.1</v>
      </c>
      <c r="T128" s="69">
        <f t="shared" ref="T128" si="249">S128/S127-1</f>
        <v>0.12357414448669202</v>
      </c>
    </row>
    <row r="129" spans="12:20" x14ac:dyDescent="0.25">
      <c r="L129" s="59">
        <v>44990</v>
      </c>
      <c r="M129" s="32">
        <v>17412.900000000001</v>
      </c>
      <c r="N129" s="69">
        <f t="shared" si="129"/>
        <v>1.829526814249105E-2</v>
      </c>
      <c r="O129">
        <v>163.02000000000001</v>
      </c>
      <c r="P129" s="69">
        <f t="shared" si="129"/>
        <v>-7.216846898121787E-2</v>
      </c>
      <c r="Q129">
        <v>153.13</v>
      </c>
      <c r="R129" s="69">
        <f t="shared" ref="R129" si="250">Q129/Q128-1</f>
        <v>-5.2999381570810078E-2</v>
      </c>
      <c r="S129">
        <v>58.85</v>
      </c>
      <c r="T129" s="69">
        <f t="shared" ref="T129" si="251">S129/S128-1</f>
        <v>-4.230118443316444E-3</v>
      </c>
    </row>
    <row r="130" spans="12:20" x14ac:dyDescent="0.25">
      <c r="L130" s="59">
        <v>44983</v>
      </c>
      <c r="M130" s="32">
        <v>17594.349999999999</v>
      </c>
      <c r="N130" s="69">
        <f t="shared" si="129"/>
        <v>1.0420435424311592E-2</v>
      </c>
      <c r="O130">
        <v>160.69999999999999</v>
      </c>
      <c r="P130" s="69">
        <f t="shared" si="129"/>
        <v>-1.4231382652435398E-2</v>
      </c>
      <c r="Q130">
        <v>145.93</v>
      </c>
      <c r="R130" s="69">
        <f t="shared" ref="R130" si="252">Q130/Q129-1</f>
        <v>-4.7018872853131222E-2</v>
      </c>
      <c r="S130">
        <v>51.05</v>
      </c>
      <c r="T130" s="69">
        <f t="shared" ref="T130" si="253">S130/S129-1</f>
        <v>-0.13254035683942234</v>
      </c>
    </row>
    <row r="131" spans="12:20" x14ac:dyDescent="0.25">
      <c r="L131" s="59">
        <v>44976</v>
      </c>
      <c r="M131" s="32">
        <v>17465.8</v>
      </c>
      <c r="N131" s="69">
        <f t="shared" si="129"/>
        <v>-7.3063227683887177E-3</v>
      </c>
      <c r="O131">
        <v>158.77000000000001</v>
      </c>
      <c r="P131" s="69">
        <f t="shared" si="129"/>
        <v>-1.2009956440572345E-2</v>
      </c>
      <c r="Q131">
        <v>144.66999999999999</v>
      </c>
      <c r="R131" s="69">
        <f t="shared" ref="R131" si="254">Q131/Q130-1</f>
        <v>-8.6342767080108684E-3</v>
      </c>
      <c r="S131">
        <v>51</v>
      </c>
      <c r="T131" s="69">
        <f t="shared" ref="T131" si="255">S131/S130-1</f>
        <v>-9.7943192948080071E-4</v>
      </c>
    </row>
    <row r="132" spans="12:20" x14ac:dyDescent="0.25">
      <c r="L132" s="59">
        <v>44969</v>
      </c>
      <c r="M132" s="32">
        <v>17944.2</v>
      </c>
      <c r="N132" s="69">
        <f t="shared" si="129"/>
        <v>2.7390672056247123E-2</v>
      </c>
      <c r="O132">
        <v>165.85</v>
      </c>
      <c r="P132" s="69">
        <f t="shared" si="129"/>
        <v>4.4592807205391383E-2</v>
      </c>
      <c r="Q132">
        <v>156.03</v>
      </c>
      <c r="R132" s="69">
        <f t="shared" ref="R132" si="256">Q132/Q131-1</f>
        <v>7.852353632404796E-2</v>
      </c>
      <c r="S132">
        <v>54</v>
      </c>
      <c r="T132" s="69">
        <f t="shared" ref="T132" si="257">S132/S131-1</f>
        <v>5.8823529411764719E-2</v>
      </c>
    </row>
    <row r="133" spans="12:20" x14ac:dyDescent="0.25">
      <c r="L133" s="59">
        <v>44962</v>
      </c>
      <c r="M133" s="32">
        <v>17856.5</v>
      </c>
      <c r="N133" s="69">
        <f t="shared" ref="N133:P196" si="258">M133/M132-1</f>
        <v>-4.8873730787664105E-3</v>
      </c>
      <c r="O133">
        <v>167</v>
      </c>
      <c r="P133" s="69">
        <f t="shared" si="258"/>
        <v>6.9339764847753393E-3</v>
      </c>
      <c r="Q133">
        <v>155.19999999999999</v>
      </c>
      <c r="R133" s="69">
        <f t="shared" ref="R133" si="259">Q133/Q132-1</f>
        <v>-5.319489841697167E-3</v>
      </c>
      <c r="S133">
        <v>54</v>
      </c>
      <c r="T133" s="69">
        <f t="shared" ref="T133" si="260">S133/S132-1</f>
        <v>0</v>
      </c>
    </row>
    <row r="134" spans="12:20" x14ac:dyDescent="0.25">
      <c r="L134" s="59">
        <v>44955</v>
      </c>
      <c r="M134" s="32">
        <v>17854.05</v>
      </c>
      <c r="N134" s="69">
        <f t="shared" si="258"/>
        <v>-1.3720493937785516E-4</v>
      </c>
      <c r="O134">
        <v>163.35</v>
      </c>
      <c r="P134" s="69">
        <f t="shared" si="258"/>
        <v>-2.1856287425149779E-2</v>
      </c>
      <c r="Q134">
        <v>151.72999999999999</v>
      </c>
      <c r="R134" s="69">
        <f t="shared" ref="R134" si="261">Q134/Q133-1</f>
        <v>-2.2358247422680444E-2</v>
      </c>
      <c r="S134">
        <v>53.95</v>
      </c>
      <c r="T134" s="69">
        <f t="shared" ref="T134" si="262">S134/S133-1</f>
        <v>-9.2592592592588563E-4</v>
      </c>
    </row>
    <row r="135" spans="12:20" x14ac:dyDescent="0.25">
      <c r="L135" s="59">
        <v>44948</v>
      </c>
      <c r="M135" s="32">
        <v>17604.349999999999</v>
      </c>
      <c r="N135" s="69">
        <f t="shared" si="258"/>
        <v>-1.3985622309784063E-2</v>
      </c>
      <c r="O135">
        <v>168.27</v>
      </c>
      <c r="P135" s="69">
        <f t="shared" si="258"/>
        <v>3.0119375573921081E-2</v>
      </c>
      <c r="Q135">
        <v>156.19999999999999</v>
      </c>
      <c r="R135" s="69">
        <f t="shared" ref="R135" si="263">Q135/Q134-1</f>
        <v>2.9460225400382178E-2</v>
      </c>
      <c r="S135">
        <v>57.85</v>
      </c>
      <c r="T135" s="69">
        <f t="shared" ref="T135" si="264">S135/S134-1</f>
        <v>7.2289156626506035E-2</v>
      </c>
    </row>
    <row r="136" spans="12:20" x14ac:dyDescent="0.25">
      <c r="L136" s="59">
        <v>44941</v>
      </c>
      <c r="M136" s="32">
        <v>18027.650000000001</v>
      </c>
      <c r="N136" s="69">
        <f t="shared" si="258"/>
        <v>2.4045193375501039E-2</v>
      </c>
      <c r="O136">
        <v>173.18</v>
      </c>
      <c r="P136" s="69">
        <f t="shared" si="258"/>
        <v>2.9179295180364884E-2</v>
      </c>
      <c r="Q136">
        <v>163.93</v>
      </c>
      <c r="R136" s="69">
        <f t="shared" ref="R136" si="265">Q136/Q135-1</f>
        <v>4.9487836107554584E-2</v>
      </c>
      <c r="S136">
        <v>58</v>
      </c>
      <c r="T136" s="69">
        <f t="shared" ref="T136" si="266">S136/S135-1</f>
        <v>2.5929127052721768E-3</v>
      </c>
    </row>
    <row r="137" spans="12:20" x14ac:dyDescent="0.25">
      <c r="L137" s="59">
        <v>44934</v>
      </c>
      <c r="M137" s="32">
        <v>17956.599999999999</v>
      </c>
      <c r="N137" s="69">
        <f t="shared" si="258"/>
        <v>-3.9411681500363116E-3</v>
      </c>
      <c r="O137">
        <v>175.05</v>
      </c>
      <c r="P137" s="69">
        <f t="shared" si="258"/>
        <v>1.0798013627439706E-2</v>
      </c>
      <c r="Q137">
        <v>167.47</v>
      </c>
      <c r="R137" s="69">
        <f t="shared" ref="R137" si="267">Q137/Q136-1</f>
        <v>2.1594583053742511E-2</v>
      </c>
      <c r="S137">
        <v>57.85</v>
      </c>
      <c r="T137" s="69">
        <f t="shared" ref="T137" si="268">S137/S136-1</f>
        <v>-2.586206896551646E-3</v>
      </c>
    </row>
    <row r="138" spans="12:20" x14ac:dyDescent="0.25">
      <c r="L138" s="59">
        <v>44927</v>
      </c>
      <c r="M138" s="32">
        <v>17859.45</v>
      </c>
      <c r="N138" s="69">
        <f t="shared" si="258"/>
        <v>-5.4102669770444978E-3</v>
      </c>
      <c r="O138">
        <v>172.35</v>
      </c>
      <c r="P138" s="69">
        <f t="shared" si="258"/>
        <v>-1.5424164524421635E-2</v>
      </c>
      <c r="Q138">
        <v>166.6</v>
      </c>
      <c r="R138" s="69">
        <f t="shared" ref="R138" si="269">Q138/Q137-1</f>
        <v>-5.194960291395545E-3</v>
      </c>
      <c r="S138">
        <v>55.35</v>
      </c>
      <c r="T138" s="69">
        <f t="shared" ref="T138" si="270">S138/S137-1</f>
        <v>-4.3215211754537575E-2</v>
      </c>
    </row>
    <row r="139" spans="12:20" x14ac:dyDescent="0.25">
      <c r="L139" s="59">
        <v>44920</v>
      </c>
      <c r="M139" s="32">
        <v>18105.3</v>
      </c>
      <c r="N139" s="69">
        <f t="shared" si="258"/>
        <v>1.3765821455867799E-2</v>
      </c>
      <c r="O139">
        <v>165.25</v>
      </c>
      <c r="P139" s="69">
        <f t="shared" si="258"/>
        <v>-4.1195242239628671E-2</v>
      </c>
      <c r="Q139">
        <v>156.77000000000001</v>
      </c>
      <c r="R139" s="69">
        <f t="shared" ref="R139" si="271">Q139/Q138-1</f>
        <v>-5.9003601440576148E-2</v>
      </c>
      <c r="S139">
        <v>56.1</v>
      </c>
      <c r="T139" s="69">
        <f t="shared" ref="T139" si="272">S139/S138-1</f>
        <v>1.3550135501354976E-2</v>
      </c>
    </row>
    <row r="140" spans="12:20" x14ac:dyDescent="0.25">
      <c r="L140" s="59">
        <v>44913</v>
      </c>
      <c r="M140" s="32">
        <v>17806.8</v>
      </c>
      <c r="N140" s="69">
        <f t="shared" si="258"/>
        <v>-1.6486885055757128E-2</v>
      </c>
      <c r="O140">
        <v>162.55000000000001</v>
      </c>
      <c r="P140" s="69">
        <f t="shared" si="258"/>
        <v>-1.6338880484114915E-2</v>
      </c>
      <c r="Q140">
        <v>151.66999999999999</v>
      </c>
      <c r="R140" s="69">
        <f t="shared" ref="R140" si="273">Q140/Q139-1</f>
        <v>-3.2531734387956979E-2</v>
      </c>
      <c r="S140">
        <v>52.6</v>
      </c>
      <c r="T140" s="69">
        <f t="shared" ref="T140" si="274">S140/S139-1</f>
        <v>-6.2388591800356497E-2</v>
      </c>
    </row>
    <row r="141" spans="12:20" x14ac:dyDescent="0.25">
      <c r="L141" s="59">
        <v>44906</v>
      </c>
      <c r="M141" s="32">
        <v>18269</v>
      </c>
      <c r="N141" s="69">
        <f t="shared" si="258"/>
        <v>2.5956376215827692E-2</v>
      </c>
      <c r="O141">
        <v>170.88</v>
      </c>
      <c r="P141" s="69">
        <f t="shared" si="258"/>
        <v>5.1245770532143853E-2</v>
      </c>
      <c r="Q141">
        <v>162.13</v>
      </c>
      <c r="R141" s="69">
        <f t="shared" ref="R141" si="275">Q141/Q140-1</f>
        <v>6.8965517241379448E-2</v>
      </c>
      <c r="S141">
        <v>61.75</v>
      </c>
      <c r="T141" s="69">
        <f t="shared" ref="T141" si="276">S141/S140-1</f>
        <v>0.17395437262357416</v>
      </c>
    </row>
    <row r="142" spans="12:20" x14ac:dyDescent="0.25">
      <c r="L142" s="59">
        <v>44899</v>
      </c>
      <c r="M142" s="32">
        <v>18496.599999999999</v>
      </c>
      <c r="N142" s="69">
        <f t="shared" si="258"/>
        <v>1.2458262630685724E-2</v>
      </c>
      <c r="O142">
        <v>169.23</v>
      </c>
      <c r="P142" s="69">
        <f t="shared" si="258"/>
        <v>-9.6558988764045006E-3</v>
      </c>
      <c r="Q142">
        <v>160</v>
      </c>
      <c r="R142" s="69">
        <f t="shared" ref="R142" si="277">Q142/Q141-1</f>
        <v>-1.3137605625115567E-2</v>
      </c>
      <c r="S142">
        <v>57.75</v>
      </c>
      <c r="T142" s="69">
        <f t="shared" ref="T142" si="278">S142/S141-1</f>
        <v>-6.4777327935222617E-2</v>
      </c>
    </row>
    <row r="143" spans="12:20" x14ac:dyDescent="0.25">
      <c r="L143" s="59">
        <v>44892</v>
      </c>
      <c r="M143" s="32">
        <v>18696.099999999999</v>
      </c>
      <c r="N143" s="69">
        <f t="shared" si="258"/>
        <v>1.0785766032676225E-2</v>
      </c>
      <c r="O143">
        <v>170.55</v>
      </c>
      <c r="P143" s="69">
        <f t="shared" si="258"/>
        <v>7.8000354547067552E-3</v>
      </c>
      <c r="Q143">
        <v>157.13</v>
      </c>
      <c r="R143" s="69">
        <f t="shared" ref="R143" si="279">Q143/Q142-1</f>
        <v>-1.7937500000000051E-2</v>
      </c>
      <c r="S143">
        <v>59.3</v>
      </c>
      <c r="T143" s="69">
        <f t="shared" ref="T143" si="280">S143/S142-1</f>
        <v>2.6839826839826886E-2</v>
      </c>
    </row>
    <row r="144" spans="12:20" x14ac:dyDescent="0.25">
      <c r="L144" s="59">
        <v>44885</v>
      </c>
      <c r="M144" s="32">
        <v>18512.75</v>
      </c>
      <c r="N144" s="69">
        <f t="shared" si="258"/>
        <v>-9.8068581147938705E-3</v>
      </c>
      <c r="O144">
        <v>162.22999999999999</v>
      </c>
      <c r="P144" s="69">
        <f t="shared" si="258"/>
        <v>-4.8783347991791404E-2</v>
      </c>
      <c r="Q144">
        <v>150.69999999999999</v>
      </c>
      <c r="R144" s="69">
        <f t="shared" ref="R144" si="281">Q144/Q143-1</f>
        <v>-4.092152994335907E-2</v>
      </c>
      <c r="S144">
        <v>57.05</v>
      </c>
      <c r="T144" s="69">
        <f t="shared" ref="T144" si="282">S144/S143-1</f>
        <v>-3.7942664418212479E-2</v>
      </c>
    </row>
    <row r="145" spans="12:20" x14ac:dyDescent="0.25">
      <c r="L145" s="59">
        <v>44878</v>
      </c>
      <c r="M145" s="32">
        <v>18307.650000000001</v>
      </c>
      <c r="N145" s="69">
        <f t="shared" si="258"/>
        <v>-1.1078851062105821E-2</v>
      </c>
      <c r="O145">
        <v>152.05000000000001</v>
      </c>
      <c r="P145" s="69">
        <f t="shared" si="258"/>
        <v>-6.2750416075941451E-2</v>
      </c>
      <c r="Q145">
        <v>139.4</v>
      </c>
      <c r="R145" s="69">
        <f t="shared" ref="R145" si="283">Q145/Q144-1</f>
        <v>-7.4983410749833945E-2</v>
      </c>
      <c r="S145">
        <v>53.45</v>
      </c>
      <c r="T145" s="69">
        <f t="shared" ref="T145" si="284">S145/S144-1</f>
        <v>-6.3102541630148945E-2</v>
      </c>
    </row>
    <row r="146" spans="12:20" x14ac:dyDescent="0.25">
      <c r="L146" s="59">
        <v>44871</v>
      </c>
      <c r="M146" s="32">
        <v>18349.7</v>
      </c>
      <c r="N146" s="69">
        <f t="shared" si="258"/>
        <v>2.296854047351804E-3</v>
      </c>
      <c r="O146">
        <v>154.44999999999999</v>
      </c>
      <c r="P146" s="69">
        <f t="shared" si="258"/>
        <v>1.5784281486352914E-2</v>
      </c>
      <c r="Q146">
        <v>138.47</v>
      </c>
      <c r="R146" s="69">
        <f t="shared" ref="R146" si="285">Q146/Q145-1</f>
        <v>-6.6714490674318894E-3</v>
      </c>
      <c r="S146">
        <v>53.9</v>
      </c>
      <c r="T146" s="69">
        <f t="shared" ref="T146" si="286">S146/S145-1</f>
        <v>8.4190832553787676E-3</v>
      </c>
    </row>
    <row r="147" spans="12:20" x14ac:dyDescent="0.25">
      <c r="L147" s="59">
        <v>44864</v>
      </c>
      <c r="M147" s="32">
        <v>18117.150000000001</v>
      </c>
      <c r="N147" s="69">
        <f t="shared" si="258"/>
        <v>-1.2673231714959932E-2</v>
      </c>
      <c r="O147">
        <v>150.68</v>
      </c>
      <c r="P147" s="69">
        <f t="shared" si="258"/>
        <v>-2.440919391388785E-2</v>
      </c>
      <c r="Q147">
        <v>135.72999999999999</v>
      </c>
      <c r="R147" s="69">
        <f t="shared" ref="R147" si="287">Q147/Q146-1</f>
        <v>-1.9787679641799727E-2</v>
      </c>
      <c r="S147">
        <v>55.05</v>
      </c>
      <c r="T147" s="69">
        <f t="shared" ref="T147" si="288">S147/S146-1</f>
        <v>2.1335807050092637E-2</v>
      </c>
    </row>
    <row r="148" spans="12:20" x14ac:dyDescent="0.25">
      <c r="L148" s="59">
        <v>44857</v>
      </c>
      <c r="M148" s="32">
        <v>17786.8</v>
      </c>
      <c r="N148" s="69">
        <f t="shared" si="258"/>
        <v>-1.8234104149935426E-2</v>
      </c>
      <c r="O148">
        <v>151.65</v>
      </c>
      <c r="P148" s="69">
        <f t="shared" si="258"/>
        <v>6.4374834085478838E-3</v>
      </c>
      <c r="Q148">
        <v>141.27000000000001</v>
      </c>
      <c r="R148" s="69">
        <f t="shared" ref="R148" si="289">Q148/Q147-1</f>
        <v>4.081632653061229E-2</v>
      </c>
      <c r="S148">
        <v>56.6</v>
      </c>
      <c r="T148" s="69">
        <f t="shared" ref="T148" si="290">S148/S147-1</f>
        <v>2.8156221616712163E-2</v>
      </c>
    </row>
    <row r="149" spans="12:20" x14ac:dyDescent="0.25">
      <c r="L149" s="59">
        <v>44850</v>
      </c>
      <c r="M149" s="32">
        <v>17576.3</v>
      </c>
      <c r="N149" s="69">
        <f t="shared" si="258"/>
        <v>-1.1834618930892549E-2</v>
      </c>
      <c r="O149">
        <v>149.18</v>
      </c>
      <c r="P149" s="69">
        <f t="shared" si="258"/>
        <v>-1.6287504121331953E-2</v>
      </c>
      <c r="Q149">
        <v>137.47</v>
      </c>
      <c r="R149" s="69">
        <f t="shared" ref="R149" si="291">Q149/Q148-1</f>
        <v>-2.6898846181071745E-2</v>
      </c>
      <c r="S149">
        <v>58.05</v>
      </c>
      <c r="T149" s="69">
        <f t="shared" ref="T149" si="292">S149/S148-1</f>
        <v>2.5618374558303847E-2</v>
      </c>
    </row>
    <row r="150" spans="12:20" x14ac:dyDescent="0.25">
      <c r="L150" s="59">
        <v>44843</v>
      </c>
      <c r="M150" s="32">
        <v>17185.7</v>
      </c>
      <c r="N150" s="69">
        <f t="shared" si="258"/>
        <v>-2.2223107252379526E-2</v>
      </c>
      <c r="O150">
        <v>148.93</v>
      </c>
      <c r="P150" s="69">
        <f t="shared" si="258"/>
        <v>-1.6758278589623643E-3</v>
      </c>
      <c r="Q150">
        <v>136.63</v>
      </c>
      <c r="R150" s="69">
        <f t="shared" ref="R150" si="293">Q150/Q149-1</f>
        <v>-6.1104240925292652E-3</v>
      </c>
      <c r="S150">
        <v>58.15</v>
      </c>
      <c r="T150" s="69">
        <f t="shared" ref="T150" si="294">S150/S149-1</f>
        <v>1.7226528854437095E-3</v>
      </c>
    </row>
    <row r="151" spans="12:20" x14ac:dyDescent="0.25">
      <c r="L151" s="59">
        <v>44836</v>
      </c>
      <c r="M151" s="32">
        <v>17314.650000000001</v>
      </c>
      <c r="N151" s="69">
        <f t="shared" si="258"/>
        <v>7.5033312579644296E-3</v>
      </c>
      <c r="O151">
        <v>153.69999999999999</v>
      </c>
      <c r="P151" s="69">
        <f t="shared" si="258"/>
        <v>3.2028469750889466E-2</v>
      </c>
      <c r="Q151">
        <v>145.69999999999999</v>
      </c>
      <c r="R151" s="69">
        <f t="shared" ref="R151" si="295">Q151/Q150-1</f>
        <v>6.6383663909829416E-2</v>
      </c>
      <c r="S151">
        <v>60.8</v>
      </c>
      <c r="T151" s="69">
        <f t="shared" ref="T151" si="296">S151/S150-1</f>
        <v>4.5571797076526144E-2</v>
      </c>
    </row>
    <row r="152" spans="12:20" x14ac:dyDescent="0.25">
      <c r="L152" s="59">
        <v>44829</v>
      </c>
      <c r="M152" s="32">
        <v>17094.349999999999</v>
      </c>
      <c r="N152" s="69">
        <f t="shared" si="258"/>
        <v>-1.2723329665918937E-2</v>
      </c>
      <c r="O152">
        <v>152.4</v>
      </c>
      <c r="P152" s="69">
        <f t="shared" si="258"/>
        <v>-8.4580351333766179E-3</v>
      </c>
      <c r="Q152">
        <v>144.19999999999999</v>
      </c>
      <c r="R152" s="69">
        <f t="shared" ref="R152" si="297">Q152/Q151-1</f>
        <v>-1.0295126973232649E-2</v>
      </c>
      <c r="S152">
        <v>59.35</v>
      </c>
      <c r="T152" s="69">
        <f t="shared" ref="T152" si="298">S152/S151-1</f>
        <v>-2.3848684210526216E-2</v>
      </c>
    </row>
    <row r="153" spans="12:20" x14ac:dyDescent="0.25">
      <c r="L153" s="59">
        <v>44822</v>
      </c>
      <c r="M153" s="32">
        <v>17327.349999999999</v>
      </c>
      <c r="N153" s="69">
        <f t="shared" si="258"/>
        <v>1.3630234551182063E-2</v>
      </c>
      <c r="O153">
        <v>155.97999999999999</v>
      </c>
      <c r="P153" s="69">
        <f t="shared" si="258"/>
        <v>2.3490813648293862E-2</v>
      </c>
      <c r="Q153">
        <v>151.22999999999999</v>
      </c>
      <c r="R153" s="69">
        <f t="shared" ref="R153" si="299">Q153/Q152-1</f>
        <v>4.875173370318997E-2</v>
      </c>
      <c r="S153">
        <v>63.35</v>
      </c>
      <c r="T153" s="69">
        <f t="shared" ref="T153" si="300">S153/S152-1</f>
        <v>6.7396798652064049E-2</v>
      </c>
    </row>
    <row r="154" spans="12:20" x14ac:dyDescent="0.25">
      <c r="L154" s="59">
        <v>44815</v>
      </c>
      <c r="M154" s="32">
        <v>17530.849999999999</v>
      </c>
      <c r="N154" s="69">
        <f t="shared" si="258"/>
        <v>1.1744438705283855E-2</v>
      </c>
      <c r="O154">
        <v>160.65</v>
      </c>
      <c r="P154" s="69">
        <f t="shared" si="258"/>
        <v>2.9939735863572459E-2</v>
      </c>
      <c r="Q154">
        <v>152.53</v>
      </c>
      <c r="R154" s="69">
        <f t="shared" ref="R154" si="301">Q154/Q153-1</f>
        <v>8.5961780070091809E-3</v>
      </c>
      <c r="S154">
        <v>70.5</v>
      </c>
      <c r="T154" s="69">
        <f t="shared" ref="T154" si="302">S154/S153-1</f>
        <v>0.11286503551696914</v>
      </c>
    </row>
    <row r="155" spans="12:20" x14ac:dyDescent="0.25">
      <c r="L155" s="59">
        <v>44808</v>
      </c>
      <c r="M155" s="32">
        <v>17833.349999999999</v>
      </c>
      <c r="N155" s="69">
        <f t="shared" si="258"/>
        <v>1.7255295664500014E-2</v>
      </c>
      <c r="O155">
        <v>169.25</v>
      </c>
      <c r="P155" s="69">
        <f t="shared" si="258"/>
        <v>5.3532524120759373E-2</v>
      </c>
      <c r="Q155">
        <v>163.9</v>
      </c>
      <c r="R155" s="69">
        <f t="shared" ref="R155" si="303">Q155/Q154-1</f>
        <v>7.4542712908935993E-2</v>
      </c>
      <c r="S155">
        <v>71.849999999999994</v>
      </c>
      <c r="T155" s="69">
        <f t="shared" ref="T155" si="304">S155/S154-1</f>
        <v>1.9148936170212627E-2</v>
      </c>
    </row>
    <row r="156" spans="12:20" x14ac:dyDescent="0.25">
      <c r="L156" s="59">
        <v>44801</v>
      </c>
      <c r="M156" s="32">
        <v>17539.45</v>
      </c>
      <c r="N156" s="69">
        <f t="shared" si="258"/>
        <v>-1.6480358429571407E-2</v>
      </c>
      <c r="O156">
        <v>160.97999999999999</v>
      </c>
      <c r="P156" s="69">
        <f t="shared" si="258"/>
        <v>-4.8862629246676614E-2</v>
      </c>
      <c r="Q156">
        <v>158.9</v>
      </c>
      <c r="R156" s="69">
        <f t="shared" ref="R156" si="305">Q156/Q155-1</f>
        <v>-3.0506406345332526E-2</v>
      </c>
      <c r="S156">
        <v>72.7</v>
      </c>
      <c r="T156" s="69">
        <f t="shared" ref="T156" si="306">S156/S155-1</f>
        <v>1.1830201809325036E-2</v>
      </c>
    </row>
    <row r="157" spans="12:20" x14ac:dyDescent="0.25">
      <c r="L157" s="59">
        <v>44794</v>
      </c>
      <c r="M157" s="32">
        <v>17558.900000000001</v>
      </c>
      <c r="N157" s="69">
        <f t="shared" si="258"/>
        <v>1.1089287292360694E-3</v>
      </c>
      <c r="O157">
        <v>164.55</v>
      </c>
      <c r="P157" s="69">
        <f t="shared" si="258"/>
        <v>2.2176667909057146E-2</v>
      </c>
      <c r="Q157">
        <v>160.97</v>
      </c>
      <c r="R157" s="69">
        <f t="shared" ref="R157" si="307">Q157/Q156-1</f>
        <v>1.3027061044682098E-2</v>
      </c>
      <c r="S157">
        <v>73.099999999999994</v>
      </c>
      <c r="T157" s="69">
        <f t="shared" ref="T157" si="308">S157/S156-1</f>
        <v>5.5020632737274866E-3</v>
      </c>
    </row>
    <row r="158" spans="12:20" x14ac:dyDescent="0.25">
      <c r="L158" s="59">
        <v>44787</v>
      </c>
      <c r="M158" s="32">
        <v>17758.45</v>
      </c>
      <c r="N158" s="69">
        <f t="shared" si="258"/>
        <v>1.1364607122313908E-2</v>
      </c>
      <c r="O158">
        <v>169.13</v>
      </c>
      <c r="P158" s="69">
        <f t="shared" si="258"/>
        <v>2.7833485262837909E-2</v>
      </c>
      <c r="Q158">
        <v>175.8</v>
      </c>
      <c r="R158" s="69">
        <f t="shared" ref="R158" si="309">Q158/Q157-1</f>
        <v>9.2128968130707589E-2</v>
      </c>
      <c r="S158">
        <v>70.55</v>
      </c>
      <c r="T158" s="69">
        <f t="shared" ref="T158" si="310">S158/S157-1</f>
        <v>-3.4883720930232509E-2</v>
      </c>
    </row>
    <row r="159" spans="12:20" x14ac:dyDescent="0.25">
      <c r="L159" s="59">
        <v>44780</v>
      </c>
      <c r="M159" s="32">
        <v>17698.150000000001</v>
      </c>
      <c r="N159" s="69">
        <f t="shared" si="258"/>
        <v>-3.3955666175820021E-3</v>
      </c>
      <c r="O159">
        <v>166.95</v>
      </c>
      <c r="P159" s="69">
        <f t="shared" si="258"/>
        <v>-1.2889493289185872E-2</v>
      </c>
      <c r="Q159">
        <v>163.9</v>
      </c>
      <c r="R159" s="69">
        <f t="shared" ref="R159" si="311">Q159/Q158-1</f>
        <v>-6.7690557451649647E-2</v>
      </c>
      <c r="S159">
        <v>75.150000000000006</v>
      </c>
      <c r="T159" s="69">
        <f t="shared" ref="T159" si="312">S159/S158-1</f>
        <v>6.5201984408221225E-2</v>
      </c>
    </row>
    <row r="160" spans="12:20" x14ac:dyDescent="0.25">
      <c r="L160" s="59">
        <v>44773</v>
      </c>
      <c r="M160" s="32">
        <v>17397.5</v>
      </c>
      <c r="N160" s="69">
        <f t="shared" si="258"/>
        <v>-1.6987651251684555E-2</v>
      </c>
      <c r="O160">
        <v>168.2</v>
      </c>
      <c r="P160" s="69">
        <f t="shared" si="258"/>
        <v>7.4872716382150539E-3</v>
      </c>
      <c r="Q160">
        <v>167.13</v>
      </c>
      <c r="R160" s="69">
        <f t="shared" ref="R160" si="313">Q160/Q159-1</f>
        <v>1.9707138499084786E-2</v>
      </c>
      <c r="S160">
        <v>71.900000000000006</v>
      </c>
      <c r="T160" s="69">
        <f t="shared" ref="T160" si="314">S160/S159-1</f>
        <v>-4.3246839654025315E-2</v>
      </c>
    </row>
    <row r="161" spans="12:20" x14ac:dyDescent="0.25">
      <c r="L161" s="59">
        <v>44766</v>
      </c>
      <c r="M161" s="32">
        <v>17158.25</v>
      </c>
      <c r="N161" s="69">
        <f t="shared" si="258"/>
        <v>-1.3751975858600329E-2</v>
      </c>
      <c r="O161">
        <v>165.15</v>
      </c>
      <c r="P161" s="69">
        <f t="shared" si="258"/>
        <v>-1.8133174791914342E-2</v>
      </c>
      <c r="Q161">
        <v>160.77000000000001</v>
      </c>
      <c r="R161" s="69">
        <f t="shared" ref="R161" si="315">Q161/Q160-1</f>
        <v>-3.8054209298151065E-2</v>
      </c>
      <c r="S161">
        <v>72.8</v>
      </c>
      <c r="T161" s="69">
        <f t="shared" ref="T161" si="316">S161/S160-1</f>
        <v>1.2517385257301727E-2</v>
      </c>
    </row>
    <row r="162" spans="12:20" x14ac:dyDescent="0.25">
      <c r="L162" s="59">
        <v>44759</v>
      </c>
      <c r="M162" s="32">
        <v>16719.45</v>
      </c>
      <c r="N162" s="69">
        <f t="shared" si="258"/>
        <v>-2.5573703611965093E-2</v>
      </c>
      <c r="O162">
        <v>160.15</v>
      </c>
      <c r="P162" s="69">
        <f t="shared" si="258"/>
        <v>-3.0275507114744138E-2</v>
      </c>
      <c r="Q162">
        <v>156.22999999999999</v>
      </c>
      <c r="R162" s="69">
        <f t="shared" ref="R162" si="317">Q162/Q161-1</f>
        <v>-2.8239099334453122E-2</v>
      </c>
      <c r="S162">
        <v>72.400000000000006</v>
      </c>
      <c r="T162" s="69">
        <f t="shared" ref="T162" si="318">S162/S161-1</f>
        <v>-5.494505494505364E-3</v>
      </c>
    </row>
    <row r="163" spans="12:20" x14ac:dyDescent="0.25">
      <c r="L163" s="59">
        <v>44752</v>
      </c>
      <c r="M163" s="32">
        <v>16049.2</v>
      </c>
      <c r="N163" s="69">
        <f t="shared" si="258"/>
        <v>-4.0088041173603206E-2</v>
      </c>
      <c r="O163">
        <v>156.05000000000001</v>
      </c>
      <c r="P163" s="69">
        <f t="shared" si="258"/>
        <v>-2.5600999063378094E-2</v>
      </c>
      <c r="Q163">
        <v>159.77000000000001</v>
      </c>
      <c r="R163" s="69">
        <f t="shared" ref="R163" si="319">Q163/Q162-1</f>
        <v>2.2658900339243448E-2</v>
      </c>
      <c r="S163">
        <v>71.099999999999994</v>
      </c>
      <c r="T163" s="69">
        <f t="shared" ref="T163" si="320">S163/S162-1</f>
        <v>-1.7955801104972524E-2</v>
      </c>
    </row>
    <row r="164" spans="12:20" x14ac:dyDescent="0.25">
      <c r="L164" s="59">
        <v>44745</v>
      </c>
      <c r="M164" s="32">
        <v>16220.6</v>
      </c>
      <c r="N164" s="69">
        <f t="shared" si="258"/>
        <v>1.0679660045360473E-2</v>
      </c>
      <c r="O164">
        <v>162.65</v>
      </c>
      <c r="P164" s="69">
        <f t="shared" si="258"/>
        <v>4.2294136494713142E-2</v>
      </c>
      <c r="Q164">
        <v>160.87</v>
      </c>
      <c r="R164" s="69">
        <f t="shared" ref="R164" si="321">Q164/Q163-1</f>
        <v>6.8848970394941311E-3</v>
      </c>
      <c r="S164">
        <v>71.95</v>
      </c>
      <c r="T164" s="69">
        <f t="shared" ref="T164" si="322">S164/S163-1</f>
        <v>1.1954992967651235E-2</v>
      </c>
    </row>
    <row r="165" spans="12:20" x14ac:dyDescent="0.25">
      <c r="L165" s="59">
        <v>44738</v>
      </c>
      <c r="M165" s="32">
        <v>15752.05</v>
      </c>
      <c r="N165" s="69">
        <f t="shared" si="258"/>
        <v>-2.8886107788861137E-2</v>
      </c>
      <c r="O165">
        <v>159.18</v>
      </c>
      <c r="P165" s="69">
        <f t="shared" si="258"/>
        <v>-2.1334153089455854E-2</v>
      </c>
      <c r="Q165">
        <v>152.30000000000001</v>
      </c>
      <c r="R165" s="69">
        <f t="shared" ref="R165" si="323">Q165/Q164-1</f>
        <v>-5.3272828992354082E-2</v>
      </c>
      <c r="S165">
        <v>81.55</v>
      </c>
      <c r="T165" s="69">
        <f t="shared" ref="T165" si="324">S165/S164-1</f>
        <v>0.13342599027102153</v>
      </c>
    </row>
    <row r="166" spans="12:20" x14ac:dyDescent="0.25">
      <c r="L166" s="59">
        <v>44731</v>
      </c>
      <c r="M166" s="32">
        <v>15699.25</v>
      </c>
      <c r="N166" s="69">
        <f t="shared" si="258"/>
        <v>-3.3519446675194242E-3</v>
      </c>
      <c r="O166">
        <v>153.77000000000001</v>
      </c>
      <c r="P166" s="69">
        <f t="shared" si="258"/>
        <v>-3.3986681743937708E-2</v>
      </c>
      <c r="Q166">
        <v>146.57</v>
      </c>
      <c r="R166" s="69">
        <f t="shared" ref="R166" si="325">Q166/Q165-1</f>
        <v>-3.7623112278397985E-2</v>
      </c>
      <c r="S166">
        <v>83.55</v>
      </c>
      <c r="T166" s="69">
        <f t="shared" ref="T166" si="326">S166/S165-1</f>
        <v>2.4524831391784074E-2</v>
      </c>
    </row>
    <row r="167" spans="12:20" x14ac:dyDescent="0.25">
      <c r="L167" s="59">
        <v>44724</v>
      </c>
      <c r="M167" s="32">
        <v>15293.5</v>
      </c>
      <c r="N167" s="69">
        <f t="shared" si="258"/>
        <v>-2.5845183687118856E-2</v>
      </c>
      <c r="O167">
        <v>150.5</v>
      </c>
      <c r="P167" s="69">
        <f t="shared" si="258"/>
        <v>-2.1265526435585658E-2</v>
      </c>
      <c r="Q167">
        <v>139.6</v>
      </c>
      <c r="R167" s="69">
        <f t="shared" ref="R167" si="327">Q167/Q166-1</f>
        <v>-4.7554069727775095E-2</v>
      </c>
      <c r="S167">
        <v>94.6</v>
      </c>
      <c r="T167" s="69">
        <f t="shared" ref="T167" si="328">S167/S166-1</f>
        <v>0.13225613405146608</v>
      </c>
    </row>
    <row r="168" spans="12:20" x14ac:dyDescent="0.25">
      <c r="L168" s="59">
        <v>44717</v>
      </c>
      <c r="M168" s="32">
        <v>16201.8</v>
      </c>
      <c r="N168" s="69">
        <f t="shared" si="258"/>
        <v>5.9391244646418428E-2</v>
      </c>
      <c r="O168">
        <v>165.5</v>
      </c>
      <c r="P168" s="69">
        <f t="shared" si="258"/>
        <v>9.9667774086378724E-2</v>
      </c>
      <c r="Q168">
        <v>158.4</v>
      </c>
      <c r="R168" s="69">
        <f t="shared" ref="R168" si="329">Q168/Q167-1</f>
        <v>0.13467048710601737</v>
      </c>
      <c r="S168">
        <v>120</v>
      </c>
      <c r="T168" s="69">
        <f t="shared" ref="T168" si="330">S168/S167-1</f>
        <v>0.26849894291754772</v>
      </c>
    </row>
    <row r="169" spans="12:20" x14ac:dyDescent="0.25">
      <c r="L169" s="59">
        <v>44710</v>
      </c>
      <c r="M169" s="32">
        <v>16584.3</v>
      </c>
      <c r="N169" s="69">
        <f t="shared" si="258"/>
        <v>2.3608487945783851E-2</v>
      </c>
      <c r="O169">
        <v>164.07</v>
      </c>
      <c r="P169" s="69">
        <f t="shared" si="258"/>
        <v>-8.6404833836858375E-3</v>
      </c>
      <c r="Q169">
        <v>155.27000000000001</v>
      </c>
      <c r="R169" s="69">
        <f t="shared" ref="R169" si="331">Q169/Q168-1</f>
        <v>-1.976010101010095E-2</v>
      </c>
      <c r="S169">
        <v>86.2</v>
      </c>
      <c r="T169" s="69">
        <f t="shared" ref="T169" si="332">S169/S168-1</f>
        <v>-0.28166666666666662</v>
      </c>
    </row>
    <row r="170" spans="12:20" x14ac:dyDescent="0.25">
      <c r="L170" s="59">
        <v>44703</v>
      </c>
      <c r="M170" s="32">
        <v>16352.45</v>
      </c>
      <c r="N170" s="69">
        <f t="shared" si="258"/>
        <v>-1.3980089602817047E-2</v>
      </c>
      <c r="O170">
        <v>161.18</v>
      </c>
      <c r="P170" s="69">
        <f t="shared" si="258"/>
        <v>-1.7614432864021423E-2</v>
      </c>
      <c r="Q170">
        <v>153.22999999999999</v>
      </c>
      <c r="R170" s="69">
        <f t="shared" ref="R170" si="333">Q170/Q169-1</f>
        <v>-1.313840407032929E-2</v>
      </c>
      <c r="S170">
        <v>79.349999999999994</v>
      </c>
      <c r="T170" s="69">
        <f t="shared" ref="T170" si="334">S170/S169-1</f>
        <v>-7.9466357308584756E-2</v>
      </c>
    </row>
    <row r="171" spans="12:20" x14ac:dyDescent="0.25">
      <c r="L171" s="59">
        <v>44696</v>
      </c>
      <c r="M171" s="32">
        <v>16266.15</v>
      </c>
      <c r="N171" s="69">
        <f t="shared" si="258"/>
        <v>-5.2774966442338256E-3</v>
      </c>
      <c r="O171">
        <v>166.4</v>
      </c>
      <c r="P171" s="69">
        <f t="shared" si="258"/>
        <v>3.2386152128055512E-2</v>
      </c>
      <c r="Q171">
        <v>162.63</v>
      </c>
      <c r="R171" s="69">
        <f t="shared" ref="R171" si="335">Q171/Q170-1</f>
        <v>6.1345689486393074E-2</v>
      </c>
      <c r="S171">
        <v>92.75</v>
      </c>
      <c r="T171" s="69">
        <f t="shared" ref="T171" si="336">S171/S170-1</f>
        <v>0.16887208569628243</v>
      </c>
    </row>
    <row r="172" spans="12:20" x14ac:dyDescent="0.25">
      <c r="L172" s="59">
        <v>44689</v>
      </c>
      <c r="M172" s="32">
        <v>15782.15</v>
      </c>
      <c r="N172" s="69">
        <f t="shared" si="258"/>
        <v>-2.975504344912594E-2</v>
      </c>
      <c r="O172">
        <v>168.48</v>
      </c>
      <c r="P172" s="69">
        <f t="shared" si="258"/>
        <v>1.2499999999999956E-2</v>
      </c>
      <c r="Q172">
        <v>172.1</v>
      </c>
      <c r="R172" s="69">
        <f t="shared" ref="R172" si="337">Q172/Q171-1</f>
        <v>5.8230338805878468E-2</v>
      </c>
      <c r="S172">
        <v>67.75</v>
      </c>
      <c r="T172" s="69">
        <f t="shared" ref="T172" si="338">S172/S171-1</f>
        <v>-0.26954177897574128</v>
      </c>
    </row>
    <row r="173" spans="12:20" x14ac:dyDescent="0.25">
      <c r="L173" s="59">
        <v>44682</v>
      </c>
      <c r="M173" s="32">
        <v>16411.25</v>
      </c>
      <c r="N173" s="69">
        <f t="shared" si="258"/>
        <v>3.9861489087354984E-2</v>
      </c>
      <c r="O173">
        <v>178.65</v>
      </c>
      <c r="P173" s="69">
        <f t="shared" si="258"/>
        <v>6.0363247863247871E-2</v>
      </c>
      <c r="Q173">
        <v>179.13</v>
      </c>
      <c r="R173" s="69">
        <f t="shared" ref="R173" si="339">Q173/Q172-1</f>
        <v>4.0848343986054525E-2</v>
      </c>
      <c r="S173">
        <v>77.849999999999994</v>
      </c>
      <c r="T173" s="69">
        <f t="shared" ref="T173" si="340">S173/S172-1</f>
        <v>0.14907749077490773</v>
      </c>
    </row>
    <row r="174" spans="12:20" x14ac:dyDescent="0.25">
      <c r="L174" s="59">
        <v>44675</v>
      </c>
      <c r="M174" s="32">
        <v>17102.55</v>
      </c>
      <c r="N174" s="69">
        <f t="shared" si="258"/>
        <v>4.2123543301089139E-2</v>
      </c>
      <c r="O174">
        <v>181.3</v>
      </c>
      <c r="P174" s="69">
        <f t="shared" si="258"/>
        <v>1.4833473271760544E-2</v>
      </c>
      <c r="Q174">
        <v>180.2</v>
      </c>
      <c r="R174" s="69">
        <f t="shared" ref="R174" si="341">Q174/Q173-1</f>
        <v>5.9733154692123147E-3</v>
      </c>
      <c r="S174">
        <v>73.75</v>
      </c>
      <c r="T174" s="69">
        <f t="shared" ref="T174" si="342">S174/S173-1</f>
        <v>-5.2665382145150819E-2</v>
      </c>
    </row>
    <row r="175" spans="12:20" x14ac:dyDescent="0.25">
      <c r="L175" s="59">
        <v>44668</v>
      </c>
      <c r="M175" s="32">
        <v>17171.95</v>
      </c>
      <c r="N175" s="69">
        <f t="shared" si="258"/>
        <v>4.0578744105412845E-3</v>
      </c>
      <c r="O175">
        <v>196.7</v>
      </c>
      <c r="P175" s="69">
        <f t="shared" si="258"/>
        <v>8.4942084942084772E-2</v>
      </c>
      <c r="Q175">
        <v>199.1</v>
      </c>
      <c r="R175" s="69">
        <f t="shared" ref="R175" si="343">Q175/Q174-1</f>
        <v>0.10488346281909</v>
      </c>
      <c r="S175">
        <v>69.8</v>
      </c>
      <c r="T175" s="69">
        <f t="shared" ref="T175" si="344">S175/S174-1</f>
        <v>-5.3559322033898349E-2</v>
      </c>
    </row>
    <row r="176" spans="12:20" x14ac:dyDescent="0.25">
      <c r="L176" s="59">
        <v>44661</v>
      </c>
      <c r="M176" s="32">
        <v>17475.650000000001</v>
      </c>
      <c r="N176" s="69">
        <f t="shared" si="258"/>
        <v>1.7685819024630289E-2</v>
      </c>
      <c r="O176">
        <v>189.5</v>
      </c>
      <c r="P176" s="69">
        <f t="shared" si="258"/>
        <v>-3.6603965429588103E-2</v>
      </c>
      <c r="Q176">
        <v>195.03</v>
      </c>
      <c r="R176" s="69">
        <f t="shared" ref="R176" si="345">Q176/Q175-1</f>
        <v>-2.0441988950276158E-2</v>
      </c>
      <c r="S176">
        <v>52.65</v>
      </c>
      <c r="T176" s="69">
        <f t="shared" ref="T176" si="346">S176/S175-1</f>
        <v>-0.24570200573065903</v>
      </c>
    </row>
    <row r="177" spans="12:20" x14ac:dyDescent="0.25">
      <c r="L177" s="59">
        <v>44654</v>
      </c>
      <c r="M177" s="32">
        <v>17784.349999999999</v>
      </c>
      <c r="N177" s="69">
        <f t="shared" si="258"/>
        <v>1.7664578999922576E-2</v>
      </c>
      <c r="O177">
        <v>192.27</v>
      </c>
      <c r="P177" s="69">
        <f t="shared" si="258"/>
        <v>1.4617414248021099E-2</v>
      </c>
      <c r="Q177">
        <v>197.6</v>
      </c>
      <c r="R177" s="69">
        <f t="shared" ref="R177" si="347">Q177/Q176-1</f>
        <v>1.3177459877967479E-2</v>
      </c>
      <c r="S177">
        <v>50.4</v>
      </c>
      <c r="T177" s="69">
        <f t="shared" ref="T177" si="348">S177/S176-1</f>
        <v>-4.2735042735042694E-2</v>
      </c>
    </row>
    <row r="178" spans="12:20" x14ac:dyDescent="0.25">
      <c r="L178" s="59">
        <v>44647</v>
      </c>
      <c r="M178" s="32">
        <v>17670.45</v>
      </c>
      <c r="N178" s="69">
        <f t="shared" si="258"/>
        <v>-6.4045073336949088E-3</v>
      </c>
      <c r="O178">
        <v>187.2</v>
      </c>
      <c r="P178" s="69">
        <f t="shared" si="258"/>
        <v>-2.6369168356998096E-2</v>
      </c>
      <c r="Q178">
        <v>184.7</v>
      </c>
      <c r="R178" s="69">
        <f t="shared" ref="R178" si="349">Q178/Q177-1</f>
        <v>-6.5283400809716619E-2</v>
      </c>
      <c r="S178">
        <v>43.05</v>
      </c>
      <c r="T178" s="69">
        <f t="shared" ref="T178" si="350">S178/S177-1</f>
        <v>-0.14583333333333337</v>
      </c>
    </row>
    <row r="179" spans="12:20" x14ac:dyDescent="0.25">
      <c r="L179" s="59">
        <v>44640</v>
      </c>
      <c r="M179" s="32">
        <v>17153</v>
      </c>
      <c r="N179" s="69">
        <f t="shared" si="258"/>
        <v>-2.928335158414197E-2</v>
      </c>
      <c r="O179">
        <v>180.15</v>
      </c>
      <c r="P179" s="69">
        <f t="shared" si="258"/>
        <v>-3.7660256410256276E-2</v>
      </c>
      <c r="Q179">
        <v>180.93</v>
      </c>
      <c r="R179" s="69">
        <f t="shared" ref="R179" si="351">Q179/Q178-1</f>
        <v>-2.0411478072549949E-2</v>
      </c>
      <c r="S179">
        <v>41.65</v>
      </c>
      <c r="T179" s="69">
        <f t="shared" ref="T179" si="352">S179/S178-1</f>
        <v>-3.2520325203251987E-2</v>
      </c>
    </row>
    <row r="180" spans="12:20" x14ac:dyDescent="0.25">
      <c r="L180" s="59">
        <v>44633</v>
      </c>
      <c r="M180" s="32">
        <v>17287.05</v>
      </c>
      <c r="N180" s="69">
        <f t="shared" si="258"/>
        <v>7.8149594823062607E-3</v>
      </c>
      <c r="O180">
        <v>182.1</v>
      </c>
      <c r="P180" s="69">
        <f t="shared" si="258"/>
        <v>1.0824313072439473E-2</v>
      </c>
      <c r="Q180">
        <v>187.63</v>
      </c>
      <c r="R180" s="69">
        <f t="shared" ref="R180" si="353">Q180/Q179-1</f>
        <v>3.703089592660147E-2</v>
      </c>
      <c r="S180">
        <v>41.2</v>
      </c>
      <c r="T180" s="69">
        <f t="shared" ref="T180" si="354">S180/S179-1</f>
        <v>-1.0804321728691391E-2</v>
      </c>
    </row>
    <row r="181" spans="12:20" x14ac:dyDescent="0.25">
      <c r="L181" s="59">
        <v>44626</v>
      </c>
      <c r="M181" s="32">
        <v>16630.45</v>
      </c>
      <c r="N181" s="69">
        <f t="shared" si="258"/>
        <v>-3.7982188979611808E-2</v>
      </c>
      <c r="O181">
        <v>181</v>
      </c>
      <c r="P181" s="69">
        <f t="shared" si="258"/>
        <v>-6.0406370126303566E-3</v>
      </c>
      <c r="Q181">
        <v>196.2</v>
      </c>
      <c r="R181" s="69">
        <f t="shared" ref="R181" si="355">Q181/Q180-1</f>
        <v>4.5674998667590394E-2</v>
      </c>
      <c r="S181">
        <v>43.85</v>
      </c>
      <c r="T181" s="69">
        <f t="shared" ref="T181" si="356">S181/S180-1</f>
        <v>6.4320388349514479E-2</v>
      </c>
    </row>
    <row r="182" spans="12:20" x14ac:dyDescent="0.25">
      <c r="L182" s="59">
        <v>44619</v>
      </c>
      <c r="M182" s="32">
        <v>16245.35</v>
      </c>
      <c r="N182" s="69">
        <f t="shared" si="258"/>
        <v>-2.3156318680492727E-2</v>
      </c>
      <c r="O182">
        <v>174.18</v>
      </c>
      <c r="P182" s="69">
        <f t="shared" si="258"/>
        <v>-3.7679558011049719E-2</v>
      </c>
      <c r="Q182">
        <v>189.77</v>
      </c>
      <c r="R182" s="69">
        <f t="shared" ref="R182" si="357">Q182/Q181-1</f>
        <v>-3.2772680937818488E-2</v>
      </c>
      <c r="S182">
        <v>40.799999999999997</v>
      </c>
      <c r="T182" s="69">
        <f t="shared" ref="T182" si="358">S182/S181-1</f>
        <v>-6.9555302166476762E-2</v>
      </c>
    </row>
    <row r="183" spans="12:20" x14ac:dyDescent="0.25">
      <c r="L183" s="59">
        <v>44612</v>
      </c>
      <c r="M183" s="32">
        <v>16658.400000000001</v>
      </c>
      <c r="N183" s="69">
        <f t="shared" si="258"/>
        <v>2.5425737210955868E-2</v>
      </c>
      <c r="O183">
        <v>168.18</v>
      </c>
      <c r="P183" s="69">
        <f t="shared" si="258"/>
        <v>-3.4447123665173995E-2</v>
      </c>
      <c r="Q183">
        <v>178.53</v>
      </c>
      <c r="R183" s="69">
        <f t="shared" ref="R183" si="359">Q183/Q182-1</f>
        <v>-5.922959371871217E-2</v>
      </c>
      <c r="S183">
        <v>39.450000000000003</v>
      </c>
      <c r="T183" s="69">
        <f t="shared" ref="T183" si="360">S183/S182-1</f>
        <v>-3.308823529411753E-2</v>
      </c>
    </row>
    <row r="184" spans="12:20" x14ac:dyDescent="0.25">
      <c r="L184" s="59">
        <v>44605</v>
      </c>
      <c r="M184" s="32">
        <v>17276.3</v>
      </c>
      <c r="N184" s="69">
        <f t="shared" si="258"/>
        <v>3.7092397829323165E-2</v>
      </c>
      <c r="O184">
        <v>186.57</v>
      </c>
      <c r="P184" s="69">
        <f t="shared" si="258"/>
        <v>0.10934712807706015</v>
      </c>
      <c r="Q184">
        <v>199.17</v>
      </c>
      <c r="R184" s="69">
        <f t="shared" ref="R184" si="361">Q184/Q183-1</f>
        <v>0.11561082171063686</v>
      </c>
      <c r="S184">
        <v>42.7</v>
      </c>
      <c r="T184" s="69">
        <f t="shared" ref="T184" si="362">S184/S183-1</f>
        <v>8.2382762991128011E-2</v>
      </c>
    </row>
    <row r="185" spans="12:20" x14ac:dyDescent="0.25">
      <c r="L185" s="59">
        <v>44598</v>
      </c>
      <c r="M185" s="32">
        <v>17374.75</v>
      </c>
      <c r="N185" s="69">
        <f t="shared" si="258"/>
        <v>5.6985581403425911E-3</v>
      </c>
      <c r="O185">
        <v>184.77</v>
      </c>
      <c r="P185" s="69">
        <f t="shared" si="258"/>
        <v>-9.6478533526289656E-3</v>
      </c>
      <c r="Q185">
        <v>201.1</v>
      </c>
      <c r="R185" s="69">
        <f t="shared" ref="R185" si="363">Q185/Q184-1</f>
        <v>9.6902143897172888E-3</v>
      </c>
      <c r="S185">
        <v>46</v>
      </c>
      <c r="T185" s="69">
        <f t="shared" ref="T185" si="364">S185/S184-1</f>
        <v>7.7283372365339442E-2</v>
      </c>
    </row>
    <row r="186" spans="12:20" x14ac:dyDescent="0.25">
      <c r="L186" s="59">
        <v>44591</v>
      </c>
      <c r="M186" s="32">
        <v>17516.3</v>
      </c>
      <c r="N186" s="69">
        <f t="shared" si="258"/>
        <v>8.1468798112203089E-3</v>
      </c>
      <c r="O186">
        <v>187.82</v>
      </c>
      <c r="P186" s="69">
        <f t="shared" si="258"/>
        <v>1.650700871353572E-2</v>
      </c>
      <c r="Q186">
        <v>187.4</v>
      </c>
      <c r="R186" s="69">
        <f t="shared" ref="R186" si="365">Q186/Q185-1</f>
        <v>-6.8125310790651317E-2</v>
      </c>
      <c r="S186">
        <v>47.45</v>
      </c>
      <c r="T186" s="69">
        <f t="shared" ref="T186" si="366">S186/S185-1</f>
        <v>3.1521739130434767E-2</v>
      </c>
    </row>
    <row r="187" spans="12:20" x14ac:dyDescent="0.25">
      <c r="L187" s="59">
        <v>44584</v>
      </c>
      <c r="M187" s="32">
        <v>17101.95</v>
      </c>
      <c r="N187" s="69">
        <f t="shared" si="258"/>
        <v>-2.3655109812003583E-2</v>
      </c>
      <c r="O187">
        <v>191.25</v>
      </c>
      <c r="P187" s="69">
        <f t="shared" si="258"/>
        <v>1.8262165903524696E-2</v>
      </c>
      <c r="Q187">
        <v>208.97</v>
      </c>
      <c r="R187" s="69">
        <f t="shared" ref="R187" si="367">Q187/Q186-1</f>
        <v>0.11510138740661691</v>
      </c>
      <c r="S187">
        <v>46.5</v>
      </c>
      <c r="T187" s="69">
        <f t="shared" ref="T187" si="368">S187/S186-1</f>
        <v>-2.0021074815595452E-2</v>
      </c>
    </row>
    <row r="188" spans="12:20" x14ac:dyDescent="0.25">
      <c r="L188" s="59">
        <v>44577</v>
      </c>
      <c r="M188" s="32">
        <v>17617.150000000001</v>
      </c>
      <c r="N188" s="69">
        <f t="shared" si="258"/>
        <v>3.0125219638696299E-2</v>
      </c>
      <c r="O188">
        <v>190.85</v>
      </c>
      <c r="P188" s="69">
        <f t="shared" si="258"/>
        <v>-2.0915032679739154E-3</v>
      </c>
      <c r="Q188">
        <v>207</v>
      </c>
      <c r="R188" s="69">
        <f t="shared" ref="R188" si="369">Q188/Q187-1</f>
        <v>-9.427190505814198E-3</v>
      </c>
      <c r="S188">
        <v>44.25</v>
      </c>
      <c r="T188" s="69">
        <f t="shared" ref="T188" si="370">S188/S187-1</f>
        <v>-4.8387096774193505E-2</v>
      </c>
    </row>
    <row r="189" spans="12:20" x14ac:dyDescent="0.25">
      <c r="L189" s="59">
        <v>44570</v>
      </c>
      <c r="M189" s="32">
        <v>18255.75</v>
      </c>
      <c r="N189" s="69">
        <f t="shared" si="258"/>
        <v>3.6248768955250865E-2</v>
      </c>
      <c r="O189">
        <v>199.23</v>
      </c>
      <c r="P189" s="69">
        <f t="shared" si="258"/>
        <v>4.3908828923238108E-2</v>
      </c>
      <c r="Q189">
        <v>216.67</v>
      </c>
      <c r="R189" s="69">
        <f t="shared" ref="R189" si="371">Q189/Q188-1</f>
        <v>4.6714975845410622E-2</v>
      </c>
      <c r="S189">
        <v>44.95</v>
      </c>
      <c r="T189" s="69">
        <f t="shared" ref="T189" si="372">S189/S188-1</f>
        <v>1.5819209039548143E-2</v>
      </c>
    </row>
    <row r="190" spans="12:20" x14ac:dyDescent="0.25">
      <c r="L190" s="59">
        <v>44563</v>
      </c>
      <c r="M190" s="32">
        <v>17812.7</v>
      </c>
      <c r="N190" s="69">
        <f t="shared" si="258"/>
        <v>-2.4269065910740406E-2</v>
      </c>
      <c r="O190">
        <v>198.1</v>
      </c>
      <c r="P190" s="69">
        <f t="shared" si="258"/>
        <v>-5.671836570797506E-3</v>
      </c>
      <c r="Q190">
        <v>213.33</v>
      </c>
      <c r="R190" s="69">
        <f t="shared" ref="R190" si="373">Q190/Q189-1</f>
        <v>-1.5415147459269751E-2</v>
      </c>
      <c r="S190">
        <v>44.95</v>
      </c>
      <c r="T190" s="69">
        <f t="shared" ref="T190" si="374">S190/S189-1</f>
        <v>0</v>
      </c>
    </row>
    <row r="191" spans="12:20" x14ac:dyDescent="0.25">
      <c r="L191" s="59">
        <v>44556</v>
      </c>
      <c r="M191" s="32">
        <v>17354.05</v>
      </c>
      <c r="N191" s="69">
        <f t="shared" si="258"/>
        <v>-2.5748482824052621E-2</v>
      </c>
      <c r="O191">
        <v>192.73</v>
      </c>
      <c r="P191" s="69">
        <f t="shared" si="258"/>
        <v>-2.7107521453811234E-2</v>
      </c>
      <c r="Q191">
        <v>194.9</v>
      </c>
      <c r="R191" s="69">
        <f t="shared" ref="R191" si="375">Q191/Q190-1</f>
        <v>-8.639197487460748E-2</v>
      </c>
      <c r="S191">
        <v>43.1</v>
      </c>
      <c r="T191" s="69">
        <f t="shared" ref="T191" si="376">S191/S190-1</f>
        <v>-4.1156840934371552E-2</v>
      </c>
    </row>
    <row r="192" spans="12:20" x14ac:dyDescent="0.25">
      <c r="L192" s="59">
        <v>44549</v>
      </c>
      <c r="M192" s="32">
        <v>17003.75</v>
      </c>
      <c r="N192" s="69">
        <f t="shared" si="258"/>
        <v>-2.0185489842428628E-2</v>
      </c>
      <c r="O192">
        <v>186.07</v>
      </c>
      <c r="P192" s="69">
        <f t="shared" si="258"/>
        <v>-3.4556114771960744E-2</v>
      </c>
      <c r="Q192">
        <v>194.43</v>
      </c>
      <c r="R192" s="69">
        <f t="shared" ref="R192" si="377">Q192/Q191-1</f>
        <v>-2.4114930733709627E-3</v>
      </c>
      <c r="S192">
        <v>42.3</v>
      </c>
      <c r="T192" s="69">
        <f t="shared" ref="T192" si="378">S192/S191-1</f>
        <v>-1.8561484918793614E-2</v>
      </c>
    </row>
    <row r="193" spans="12:20" x14ac:dyDescent="0.25">
      <c r="L193" s="59">
        <v>44542</v>
      </c>
      <c r="M193" s="32">
        <v>16985.2</v>
      </c>
      <c r="N193" s="69">
        <f t="shared" si="258"/>
        <v>-1.0909358229801436E-3</v>
      </c>
      <c r="O193">
        <v>192.35</v>
      </c>
      <c r="P193" s="69">
        <f t="shared" si="258"/>
        <v>3.3750738969205107E-2</v>
      </c>
      <c r="Q193">
        <v>191.57</v>
      </c>
      <c r="R193" s="69">
        <f t="shared" ref="R193" si="379">Q193/Q192-1</f>
        <v>-1.4709664146479562E-2</v>
      </c>
      <c r="S193">
        <v>44.1</v>
      </c>
      <c r="T193" s="69">
        <f t="shared" ref="T193" si="380">S193/S192-1</f>
        <v>4.2553191489361764E-2</v>
      </c>
    </row>
    <row r="194" spans="12:20" x14ac:dyDescent="0.25">
      <c r="L194" s="59">
        <v>44535</v>
      </c>
      <c r="M194" s="32">
        <v>17511.3</v>
      </c>
      <c r="N194" s="69">
        <f t="shared" si="258"/>
        <v>3.0974024444810677E-2</v>
      </c>
      <c r="O194">
        <v>198.48</v>
      </c>
      <c r="P194" s="69">
        <f t="shared" si="258"/>
        <v>3.1868988822459032E-2</v>
      </c>
      <c r="Q194">
        <v>204.9</v>
      </c>
      <c r="R194" s="69">
        <f t="shared" ref="R194" si="381">Q194/Q193-1</f>
        <v>6.9582920081432409E-2</v>
      </c>
      <c r="S194">
        <v>44.9</v>
      </c>
      <c r="T194" s="69">
        <f t="shared" ref="T194" si="382">S194/S193-1</f>
        <v>1.814058956916087E-2</v>
      </c>
    </row>
    <row r="195" spans="12:20" x14ac:dyDescent="0.25">
      <c r="L195" s="59">
        <v>44528</v>
      </c>
      <c r="M195" s="32">
        <v>17196.7</v>
      </c>
      <c r="N195" s="69">
        <f t="shared" si="258"/>
        <v>-1.7965542249861466E-2</v>
      </c>
      <c r="O195">
        <v>192.95</v>
      </c>
      <c r="P195" s="69">
        <f t="shared" si="258"/>
        <v>-2.7861749294639249E-2</v>
      </c>
      <c r="Q195">
        <v>199</v>
      </c>
      <c r="R195" s="69">
        <f t="shared" ref="R195" si="383">Q195/Q194-1</f>
        <v>-2.8794533918984899E-2</v>
      </c>
      <c r="S195">
        <v>45.15</v>
      </c>
      <c r="T195" s="69">
        <f t="shared" ref="T195" si="384">S195/S194-1</f>
        <v>5.5679287305121505E-3</v>
      </c>
    </row>
    <row r="196" spans="12:20" x14ac:dyDescent="0.25">
      <c r="L196" s="59">
        <v>44521</v>
      </c>
      <c r="M196" s="32">
        <v>17026.45</v>
      </c>
      <c r="N196" s="69">
        <f t="shared" si="258"/>
        <v>-9.900155262346888E-3</v>
      </c>
      <c r="O196">
        <v>188.43</v>
      </c>
      <c r="P196" s="69">
        <f t="shared" si="258"/>
        <v>-2.342575796838553E-2</v>
      </c>
      <c r="Q196">
        <v>201.47</v>
      </c>
      <c r="R196" s="69">
        <f t="shared" ref="R196" si="385">Q196/Q195-1</f>
        <v>1.2412060301507433E-2</v>
      </c>
      <c r="S196">
        <v>45.65</v>
      </c>
      <c r="T196" s="69">
        <f t="shared" ref="T196" si="386">S196/S195-1</f>
        <v>1.1074197120708673E-2</v>
      </c>
    </row>
    <row r="197" spans="12:20" x14ac:dyDescent="0.25">
      <c r="L197" s="59">
        <v>44514</v>
      </c>
      <c r="M197" s="32">
        <v>17764.8</v>
      </c>
      <c r="N197" s="69">
        <f t="shared" ref="N197:P260" si="387">M197/M196-1</f>
        <v>4.3364882286090145E-2</v>
      </c>
      <c r="O197">
        <v>202.65</v>
      </c>
      <c r="P197" s="69">
        <f t="shared" si="387"/>
        <v>7.5465690176723443E-2</v>
      </c>
      <c r="Q197">
        <v>215.8</v>
      </c>
      <c r="R197" s="69">
        <f t="shared" ref="R197" si="388">Q197/Q196-1</f>
        <v>7.1127214969970876E-2</v>
      </c>
      <c r="S197">
        <v>46.55</v>
      </c>
      <c r="T197" s="69">
        <f t="shared" ref="T197" si="389">S197/S196-1</f>
        <v>1.9715224534501585E-2</v>
      </c>
    </row>
    <row r="198" spans="12:20" x14ac:dyDescent="0.25">
      <c r="L198" s="59">
        <v>44507</v>
      </c>
      <c r="M198" s="32">
        <v>18102.75</v>
      </c>
      <c r="N198" s="69">
        <f t="shared" si="387"/>
        <v>1.9023574709537971E-2</v>
      </c>
      <c r="O198">
        <v>213.85</v>
      </c>
      <c r="P198" s="69">
        <f t="shared" si="387"/>
        <v>5.5267702936096619E-2</v>
      </c>
      <c r="Q198">
        <v>231.33</v>
      </c>
      <c r="R198" s="69">
        <f t="shared" ref="R198" si="390">Q198/Q197-1</f>
        <v>7.1964782205746092E-2</v>
      </c>
      <c r="S198">
        <v>49.05</v>
      </c>
      <c r="T198" s="69">
        <f t="shared" ref="T198" si="391">S198/S197-1</f>
        <v>5.3705692803437177E-2</v>
      </c>
    </row>
    <row r="199" spans="12:20" x14ac:dyDescent="0.25">
      <c r="L199" s="59">
        <v>44500</v>
      </c>
      <c r="M199" s="32">
        <v>17916.8</v>
      </c>
      <c r="N199" s="69">
        <f t="shared" si="387"/>
        <v>-1.0271920012152935E-2</v>
      </c>
      <c r="O199">
        <v>209.88</v>
      </c>
      <c r="P199" s="69">
        <f t="shared" si="387"/>
        <v>-1.8564414309095167E-2</v>
      </c>
      <c r="Q199">
        <v>214.6</v>
      </c>
      <c r="R199" s="69">
        <f t="shared" ref="R199" si="392">Q199/Q198-1</f>
        <v>-7.2320926814507525E-2</v>
      </c>
      <c r="S199">
        <v>49.75</v>
      </c>
      <c r="T199" s="69">
        <f t="shared" ref="T199" si="393">S199/S198-1</f>
        <v>1.4271151885830946E-2</v>
      </c>
    </row>
    <row r="200" spans="12:20" x14ac:dyDescent="0.25">
      <c r="L200" s="59">
        <v>44493</v>
      </c>
      <c r="M200" s="32">
        <v>17671.650000000001</v>
      </c>
      <c r="N200" s="69">
        <f t="shared" si="387"/>
        <v>-1.3682688873012938E-2</v>
      </c>
      <c r="O200">
        <v>208.85</v>
      </c>
      <c r="P200" s="69">
        <f t="shared" si="387"/>
        <v>-4.9075662283210031E-3</v>
      </c>
      <c r="Q200">
        <v>206.93</v>
      </c>
      <c r="R200" s="69">
        <f t="shared" ref="R200" si="394">Q200/Q199-1</f>
        <v>-3.574091332712015E-2</v>
      </c>
      <c r="S200">
        <v>49.15</v>
      </c>
      <c r="T200" s="69">
        <f t="shared" ref="T200" si="395">S200/S199-1</f>
        <v>-1.2060301507537674E-2</v>
      </c>
    </row>
    <row r="201" spans="12:20" x14ac:dyDescent="0.25">
      <c r="L201" s="59">
        <v>44486</v>
      </c>
      <c r="M201" s="32">
        <v>18114.900000000001</v>
      </c>
      <c r="N201" s="69">
        <f t="shared" si="387"/>
        <v>2.5082547470100414E-2</v>
      </c>
      <c r="O201">
        <v>223.63</v>
      </c>
      <c r="P201" s="69">
        <f t="shared" si="387"/>
        <v>7.0768494134546334E-2</v>
      </c>
      <c r="Q201">
        <v>218.57</v>
      </c>
      <c r="R201" s="69">
        <f t="shared" ref="R201" si="396">Q201/Q200-1</f>
        <v>5.6250906103513243E-2</v>
      </c>
      <c r="S201">
        <v>50.35</v>
      </c>
      <c r="T201" s="69">
        <f t="shared" ref="T201" si="397">S201/S200-1</f>
        <v>2.4415055951169995E-2</v>
      </c>
    </row>
    <row r="202" spans="12:20" x14ac:dyDescent="0.25">
      <c r="L202" s="59">
        <v>44479</v>
      </c>
      <c r="M202" s="32">
        <v>18338.55</v>
      </c>
      <c r="N202" s="69">
        <f t="shared" si="387"/>
        <v>1.2346190152857428E-2</v>
      </c>
      <c r="O202">
        <v>229.65</v>
      </c>
      <c r="P202" s="69">
        <f t="shared" si="387"/>
        <v>2.6919465188033787E-2</v>
      </c>
      <c r="Q202">
        <v>220.9</v>
      </c>
      <c r="R202" s="69">
        <f t="shared" ref="R202" si="398">Q202/Q201-1</f>
        <v>1.0660200393466601E-2</v>
      </c>
      <c r="S202">
        <v>52</v>
      </c>
      <c r="T202" s="69">
        <f t="shared" ref="T202" si="399">S202/S201-1</f>
        <v>3.2770605759682159E-2</v>
      </c>
    </row>
    <row r="203" spans="12:20" x14ac:dyDescent="0.25">
      <c r="L203" s="59">
        <v>44472</v>
      </c>
      <c r="M203" s="32">
        <v>17895.2</v>
      </c>
      <c r="N203" s="69">
        <f t="shared" si="387"/>
        <v>-2.4175848145027712E-2</v>
      </c>
      <c r="O203">
        <v>224.73</v>
      </c>
      <c r="P203" s="69">
        <f t="shared" si="387"/>
        <v>-2.1423905943827593E-2</v>
      </c>
      <c r="Q203">
        <v>212.03</v>
      </c>
      <c r="R203" s="69">
        <f t="shared" ref="R203" si="400">Q203/Q202-1</f>
        <v>-4.015391579900407E-2</v>
      </c>
      <c r="S203">
        <v>50.45</v>
      </c>
      <c r="T203" s="69">
        <f t="shared" ref="T203" si="401">S203/S202-1</f>
        <v>-2.9807692307692202E-2</v>
      </c>
    </row>
    <row r="204" spans="12:20" x14ac:dyDescent="0.25">
      <c r="L204" s="59">
        <v>44465</v>
      </c>
      <c r="M204" s="32">
        <v>17532.05</v>
      </c>
      <c r="N204" s="69">
        <f t="shared" si="387"/>
        <v>-2.0293151236085771E-2</v>
      </c>
      <c r="O204">
        <v>216.52</v>
      </c>
      <c r="P204" s="69">
        <f t="shared" si="387"/>
        <v>-3.6532728162684047E-2</v>
      </c>
      <c r="Q204">
        <v>199.3</v>
      </c>
      <c r="R204" s="69">
        <f t="shared" ref="R204" si="402">Q204/Q203-1</f>
        <v>-6.0038673772579321E-2</v>
      </c>
      <c r="S204">
        <v>50.85</v>
      </c>
      <c r="T204" s="69">
        <f t="shared" ref="T204" si="403">S204/S203-1</f>
        <v>7.9286422200197659E-3</v>
      </c>
    </row>
    <row r="205" spans="12:20" x14ac:dyDescent="0.25">
      <c r="L205" s="59">
        <v>44458</v>
      </c>
      <c r="M205" s="32">
        <v>17853.2</v>
      </c>
      <c r="N205" s="69">
        <f t="shared" si="387"/>
        <v>1.8317880681380849E-2</v>
      </c>
      <c r="O205">
        <v>207.4</v>
      </c>
      <c r="P205" s="69">
        <f t="shared" si="387"/>
        <v>-4.212082024755226E-2</v>
      </c>
      <c r="Q205">
        <v>183.2</v>
      </c>
      <c r="R205" s="69">
        <f t="shared" ref="R205" si="404">Q205/Q204-1</f>
        <v>-8.0782739588560082E-2</v>
      </c>
      <c r="S205">
        <v>44.5</v>
      </c>
      <c r="T205" s="69">
        <f t="shared" ref="T205" si="405">S205/S204-1</f>
        <v>-0.12487708947885945</v>
      </c>
    </row>
    <row r="206" spans="12:20" x14ac:dyDescent="0.25">
      <c r="L206" s="59">
        <v>44451</v>
      </c>
      <c r="M206" s="32">
        <v>17585.150000000001</v>
      </c>
      <c r="N206" s="69">
        <f t="shared" si="387"/>
        <v>-1.5014115116617655E-2</v>
      </c>
      <c r="O206">
        <v>218.13</v>
      </c>
      <c r="P206" s="69">
        <f t="shared" si="387"/>
        <v>5.1735776277724188E-2</v>
      </c>
      <c r="Q206">
        <v>188.63</v>
      </c>
      <c r="R206" s="69">
        <f t="shared" ref="R206" si="406">Q206/Q205-1</f>
        <v>2.9639737991266513E-2</v>
      </c>
      <c r="S206">
        <v>44.9</v>
      </c>
      <c r="T206" s="69">
        <f t="shared" ref="T206" si="407">S206/S205-1</f>
        <v>8.9887640449437534E-3</v>
      </c>
    </row>
    <row r="207" spans="12:20" x14ac:dyDescent="0.25">
      <c r="L207" s="59">
        <v>44444</v>
      </c>
      <c r="M207" s="32">
        <v>17369.25</v>
      </c>
      <c r="N207" s="69">
        <f t="shared" si="387"/>
        <v>-1.2277404514604684E-2</v>
      </c>
      <c r="O207">
        <v>228.03</v>
      </c>
      <c r="P207" s="69">
        <f t="shared" si="387"/>
        <v>4.5385779122541603E-2</v>
      </c>
      <c r="Q207">
        <v>179.1</v>
      </c>
      <c r="R207" s="69">
        <f t="shared" ref="R207" si="408">Q207/Q206-1</f>
        <v>-5.0522186290621884E-2</v>
      </c>
      <c r="S207">
        <v>42.95</v>
      </c>
      <c r="T207" s="69">
        <f t="shared" ref="T207" si="409">S207/S206-1</f>
        <v>-4.342984409799544E-2</v>
      </c>
    </row>
    <row r="208" spans="12:20" x14ac:dyDescent="0.25">
      <c r="L208" s="59">
        <v>44437</v>
      </c>
      <c r="M208" s="32">
        <v>17323.599999999999</v>
      </c>
      <c r="N208" s="69">
        <f t="shared" si="387"/>
        <v>-2.6282078961383792E-3</v>
      </c>
      <c r="O208">
        <v>228.1</v>
      </c>
      <c r="P208" s="69">
        <f t="shared" si="387"/>
        <v>3.0697715212912868E-4</v>
      </c>
      <c r="Q208">
        <v>183.97</v>
      </c>
      <c r="R208" s="69">
        <f t="shared" ref="R208" si="410">Q208/Q207-1</f>
        <v>2.7191513121161304E-2</v>
      </c>
      <c r="S208">
        <v>43.6</v>
      </c>
      <c r="T208" s="69">
        <f t="shared" ref="T208" si="411">S208/S207-1</f>
        <v>1.5133876600698537E-2</v>
      </c>
    </row>
    <row r="209" spans="12:20" x14ac:dyDescent="0.25">
      <c r="L209" s="59">
        <v>44430</v>
      </c>
      <c r="M209" s="32">
        <v>16705.2</v>
      </c>
      <c r="N209" s="69">
        <f t="shared" si="387"/>
        <v>-3.5696968297582399E-2</v>
      </c>
      <c r="O209">
        <v>218.82</v>
      </c>
      <c r="P209" s="69">
        <f t="shared" si="387"/>
        <v>-4.0683910565541437E-2</v>
      </c>
      <c r="Q209">
        <v>171.07</v>
      </c>
      <c r="R209" s="69">
        <f t="shared" ref="R209" si="412">Q209/Q208-1</f>
        <v>-7.0120128281785155E-2</v>
      </c>
      <c r="S209">
        <v>42.25</v>
      </c>
      <c r="T209" s="69">
        <f t="shared" ref="T209" si="413">S209/S208-1</f>
        <v>-3.0963302752293642E-2</v>
      </c>
    </row>
    <row r="210" spans="12:20" x14ac:dyDescent="0.25">
      <c r="L210" s="59">
        <v>44423</v>
      </c>
      <c r="M210" s="32">
        <v>16450.5</v>
      </c>
      <c r="N210" s="69">
        <f t="shared" si="387"/>
        <v>-1.5246749515121061E-2</v>
      </c>
      <c r="O210">
        <v>211.34</v>
      </c>
      <c r="P210" s="69">
        <f t="shared" si="387"/>
        <v>-3.4183347043231782E-2</v>
      </c>
      <c r="Q210">
        <v>164.8</v>
      </c>
      <c r="R210" s="69">
        <f t="shared" ref="R210" si="414">Q210/Q209-1</f>
        <v>-3.6651663061904372E-2</v>
      </c>
      <c r="S210">
        <v>42.85</v>
      </c>
      <c r="T210" s="69">
        <f t="shared" ref="T210" si="415">S210/S209-1</f>
        <v>1.4201183431952646E-2</v>
      </c>
    </row>
    <row r="211" spans="12:20" x14ac:dyDescent="0.25">
      <c r="L211" s="59">
        <v>44416</v>
      </c>
      <c r="M211" s="32">
        <v>16529.099999999999</v>
      </c>
      <c r="N211" s="69">
        <f t="shared" si="387"/>
        <v>4.7779702744596975E-3</v>
      </c>
      <c r="O211">
        <v>211.2</v>
      </c>
      <c r="P211" s="69">
        <f t="shared" si="387"/>
        <v>-6.6243967067292076E-4</v>
      </c>
      <c r="Q211">
        <v>170.03</v>
      </c>
      <c r="R211" s="69">
        <f t="shared" ref="R211" si="416">Q211/Q210-1</f>
        <v>3.1735436893203905E-2</v>
      </c>
      <c r="S211">
        <v>43.15</v>
      </c>
      <c r="T211" s="69">
        <f t="shared" ref="T211" si="417">S211/S210-1</f>
        <v>7.0011668611433819E-3</v>
      </c>
    </row>
    <row r="212" spans="12:20" x14ac:dyDescent="0.25">
      <c r="L212" s="59">
        <v>44409</v>
      </c>
      <c r="M212" s="32">
        <v>16238.2</v>
      </c>
      <c r="N212" s="69">
        <f t="shared" si="387"/>
        <v>-1.7599264327761266E-2</v>
      </c>
      <c r="O212">
        <v>211.53</v>
      </c>
      <c r="P212" s="69">
        <f t="shared" si="387"/>
        <v>1.5625000000001332E-3</v>
      </c>
      <c r="Q212">
        <v>176.63</v>
      </c>
      <c r="R212" s="69">
        <f t="shared" ref="R212" si="418">Q212/Q211-1</f>
        <v>3.8816679409515942E-2</v>
      </c>
      <c r="S212">
        <v>43.35</v>
      </c>
      <c r="T212" s="69">
        <f t="shared" ref="T212" si="419">S212/S211-1</f>
        <v>4.6349942062573479E-3</v>
      </c>
    </row>
    <row r="213" spans="12:20" x14ac:dyDescent="0.25">
      <c r="L213" s="59">
        <v>44402</v>
      </c>
      <c r="M213" s="32">
        <v>15763.05</v>
      </c>
      <c r="N213" s="69">
        <f t="shared" si="387"/>
        <v>-2.9261248167900433E-2</v>
      </c>
      <c r="O213">
        <v>206.84</v>
      </c>
      <c r="P213" s="69">
        <f t="shared" si="387"/>
        <v>-2.2171795962747542E-2</v>
      </c>
      <c r="Q213">
        <v>174.1</v>
      </c>
      <c r="R213" s="69">
        <f t="shared" ref="R213" si="420">Q213/Q212-1</f>
        <v>-1.4323727566098676E-2</v>
      </c>
      <c r="S213">
        <v>44.7</v>
      </c>
      <c r="T213" s="69">
        <f t="shared" ref="T213" si="421">S213/S212-1</f>
        <v>3.114186851211076E-2</v>
      </c>
    </row>
    <row r="214" spans="12:20" x14ac:dyDescent="0.25">
      <c r="L214" s="59">
        <v>44395</v>
      </c>
      <c r="M214" s="32">
        <v>15856.05</v>
      </c>
      <c r="N214" s="69">
        <f t="shared" si="387"/>
        <v>5.899873438198755E-3</v>
      </c>
      <c r="O214">
        <v>214.2</v>
      </c>
      <c r="P214" s="69">
        <f t="shared" si="387"/>
        <v>3.5583059369560965E-2</v>
      </c>
      <c r="Q214">
        <v>184.93</v>
      </c>
      <c r="R214" s="69">
        <f t="shared" ref="R214" si="422">Q214/Q213-1</f>
        <v>6.2205628948879932E-2</v>
      </c>
      <c r="S214">
        <v>45.55</v>
      </c>
      <c r="T214" s="69">
        <f t="shared" ref="T214" si="423">S214/S213-1</f>
        <v>1.9015659955257114E-2</v>
      </c>
    </row>
    <row r="215" spans="12:20" x14ac:dyDescent="0.25">
      <c r="L215" s="59">
        <v>44388</v>
      </c>
      <c r="M215" s="32">
        <v>15923.4</v>
      </c>
      <c r="N215" s="69">
        <f t="shared" si="387"/>
        <v>4.2475900366105712E-3</v>
      </c>
      <c r="O215">
        <v>208</v>
      </c>
      <c r="P215" s="69">
        <f t="shared" si="387"/>
        <v>-2.8944911297852371E-2</v>
      </c>
      <c r="Q215">
        <v>178.73</v>
      </c>
      <c r="R215" s="69">
        <f t="shared" ref="R215" si="424">Q215/Q214-1</f>
        <v>-3.3526199102363097E-2</v>
      </c>
      <c r="S215">
        <v>47.75</v>
      </c>
      <c r="T215" s="69">
        <f t="shared" ref="T215" si="425">S215/S214-1</f>
        <v>4.8298572996706923E-2</v>
      </c>
    </row>
    <row r="216" spans="12:20" x14ac:dyDescent="0.25">
      <c r="L216" s="59">
        <v>44381</v>
      </c>
      <c r="M216" s="32">
        <v>15689.8</v>
      </c>
      <c r="N216" s="69">
        <f t="shared" si="387"/>
        <v>-1.4670233744049632E-2</v>
      </c>
      <c r="O216">
        <v>212.13</v>
      </c>
      <c r="P216" s="69">
        <f t="shared" si="387"/>
        <v>1.985576923076926E-2</v>
      </c>
      <c r="Q216">
        <v>185.97</v>
      </c>
      <c r="R216" s="69">
        <f t="shared" ref="R216" si="426">Q216/Q215-1</f>
        <v>4.05080288703632E-2</v>
      </c>
      <c r="S216">
        <v>48.9</v>
      </c>
      <c r="T216" s="69">
        <f t="shared" ref="T216" si="427">S216/S215-1</f>
        <v>2.408376963350789E-2</v>
      </c>
    </row>
    <row r="217" spans="12:20" x14ac:dyDescent="0.25">
      <c r="L217" s="59">
        <v>44374</v>
      </c>
      <c r="M217" s="32">
        <v>15722.2</v>
      </c>
      <c r="N217" s="69">
        <f t="shared" si="387"/>
        <v>2.0650358831852955E-3</v>
      </c>
      <c r="O217">
        <v>214.85</v>
      </c>
      <c r="P217" s="69">
        <f t="shared" si="387"/>
        <v>1.2822325932211331E-2</v>
      </c>
      <c r="Q217">
        <v>198.63</v>
      </c>
      <c r="R217" s="69">
        <f t="shared" ref="R217" si="428">Q217/Q216-1</f>
        <v>6.8075496047749651E-2</v>
      </c>
      <c r="S217">
        <v>50.9</v>
      </c>
      <c r="T217" s="69">
        <f t="shared" ref="T217" si="429">S217/S216-1</f>
        <v>4.0899795501022407E-2</v>
      </c>
    </row>
    <row r="218" spans="12:20" x14ac:dyDescent="0.25">
      <c r="L218" s="59">
        <v>44367</v>
      </c>
      <c r="M218" s="32">
        <v>15860.35</v>
      </c>
      <c r="N218" s="69">
        <f t="shared" si="387"/>
        <v>8.7869382147536257E-3</v>
      </c>
      <c r="O218">
        <v>218.24</v>
      </c>
      <c r="P218" s="69">
        <f t="shared" si="387"/>
        <v>1.5778450081452178E-2</v>
      </c>
      <c r="Q218">
        <v>198.67</v>
      </c>
      <c r="R218" s="69">
        <f t="shared" ref="R218" si="430">Q218/Q217-1</f>
        <v>2.0137944922726803E-4</v>
      </c>
      <c r="S218">
        <v>51.4</v>
      </c>
      <c r="T218" s="69">
        <f t="shared" ref="T218" si="431">S218/S217-1</f>
        <v>9.8231827111985304E-3</v>
      </c>
    </row>
    <row r="219" spans="12:20" x14ac:dyDescent="0.25">
      <c r="L219" s="59">
        <v>44360</v>
      </c>
      <c r="M219" s="32">
        <v>15683.35</v>
      </c>
      <c r="N219" s="69">
        <f t="shared" si="387"/>
        <v>-1.1159905046231655E-2</v>
      </c>
      <c r="O219">
        <v>219.31</v>
      </c>
      <c r="P219" s="69">
        <f t="shared" si="387"/>
        <v>4.9028592375366387E-3</v>
      </c>
      <c r="Q219">
        <v>197.17</v>
      </c>
      <c r="R219" s="69">
        <f t="shared" ref="R219" si="432">Q219/Q218-1</f>
        <v>-7.5502088891126196E-3</v>
      </c>
      <c r="S219">
        <v>51.25</v>
      </c>
      <c r="T219" s="69">
        <f t="shared" ref="T219" si="433">S219/S218-1</f>
        <v>-2.9182879377431803E-3</v>
      </c>
    </row>
    <row r="220" spans="12:20" x14ac:dyDescent="0.25">
      <c r="L220" s="59">
        <v>44353</v>
      </c>
      <c r="M220" s="32">
        <v>15799.35</v>
      </c>
      <c r="N220" s="69">
        <f t="shared" si="387"/>
        <v>7.3963789624027498E-3</v>
      </c>
      <c r="O220">
        <v>224.53</v>
      </c>
      <c r="P220" s="69">
        <f t="shared" si="387"/>
        <v>2.3801924216861892E-2</v>
      </c>
      <c r="Q220">
        <v>196.7</v>
      </c>
      <c r="R220" s="69">
        <f t="shared" ref="R220" si="434">Q220/Q219-1</f>
        <v>-2.3837297763351639E-3</v>
      </c>
      <c r="S220">
        <v>51.35</v>
      </c>
      <c r="T220" s="69">
        <f t="shared" ref="T220" si="435">S220/S219-1</f>
        <v>1.9512195121951237E-3</v>
      </c>
    </row>
    <row r="221" spans="12:20" x14ac:dyDescent="0.25">
      <c r="L221" s="59">
        <v>44346</v>
      </c>
      <c r="M221" s="32">
        <v>15670.25</v>
      </c>
      <c r="N221" s="69">
        <f t="shared" si="387"/>
        <v>-8.1712222338260476E-3</v>
      </c>
      <c r="O221">
        <v>222.04</v>
      </c>
      <c r="P221" s="69">
        <f t="shared" si="387"/>
        <v>-1.1089832093706842E-2</v>
      </c>
      <c r="Q221">
        <v>199.2</v>
      </c>
      <c r="R221" s="69">
        <f t="shared" ref="R221" si="436">Q221/Q220-1</f>
        <v>1.2709710218607118E-2</v>
      </c>
      <c r="S221">
        <v>51.15</v>
      </c>
      <c r="T221" s="69">
        <f t="shared" ref="T221" si="437">S221/S220-1</f>
        <v>-3.894839337877376E-3</v>
      </c>
    </row>
    <row r="222" spans="12:20" x14ac:dyDescent="0.25">
      <c r="L222" s="59">
        <v>44339</v>
      </c>
      <c r="M222" s="32">
        <v>15435.65</v>
      </c>
      <c r="N222" s="69">
        <f t="shared" si="387"/>
        <v>-1.4971043856990218E-2</v>
      </c>
      <c r="O222">
        <v>218.91</v>
      </c>
      <c r="P222" s="69">
        <f t="shared" si="387"/>
        <v>-1.4096559178526369E-2</v>
      </c>
      <c r="Q222">
        <v>187.1</v>
      </c>
      <c r="R222" s="69">
        <f t="shared" ref="R222" si="438">Q222/Q221-1</f>
        <v>-6.0742971887550179E-2</v>
      </c>
      <c r="S222">
        <v>49.95</v>
      </c>
      <c r="T222" s="69">
        <f t="shared" ref="T222" si="439">S222/S221-1</f>
        <v>-2.3460410557184619E-2</v>
      </c>
    </row>
    <row r="223" spans="12:20" x14ac:dyDescent="0.25">
      <c r="L223" s="59">
        <v>44332</v>
      </c>
      <c r="M223" s="32">
        <v>15175.3</v>
      </c>
      <c r="N223" s="69">
        <f t="shared" si="387"/>
        <v>-1.6866798612303335E-2</v>
      </c>
      <c r="O223">
        <v>214.06</v>
      </c>
      <c r="P223" s="69">
        <f t="shared" si="387"/>
        <v>-2.2155223607875363E-2</v>
      </c>
      <c r="Q223">
        <v>184.2</v>
      </c>
      <c r="R223" s="69">
        <f t="shared" ref="R223" si="440">Q223/Q222-1</f>
        <v>-1.5499732763228247E-2</v>
      </c>
      <c r="S223">
        <v>51.7</v>
      </c>
      <c r="T223" s="69">
        <f t="shared" ref="T223" si="441">S223/S222-1</f>
        <v>3.5035035035035023E-2</v>
      </c>
    </row>
    <row r="224" spans="12:20" x14ac:dyDescent="0.25">
      <c r="L224" s="59">
        <v>44325</v>
      </c>
      <c r="M224" s="32">
        <v>14677.8</v>
      </c>
      <c r="N224" s="69">
        <f t="shared" si="387"/>
        <v>-3.2783536404552116E-2</v>
      </c>
      <c r="O224">
        <v>205.33</v>
      </c>
      <c r="P224" s="69">
        <f t="shared" si="387"/>
        <v>-4.0782958049145002E-2</v>
      </c>
      <c r="Q224">
        <v>169.6</v>
      </c>
      <c r="R224" s="69">
        <f t="shared" ref="R224" si="442">Q224/Q223-1</f>
        <v>-7.9261672095548241E-2</v>
      </c>
      <c r="S224">
        <v>47.5</v>
      </c>
      <c r="T224" s="69">
        <f t="shared" ref="T224" si="443">S224/S223-1</f>
        <v>-8.1237911025145104E-2</v>
      </c>
    </row>
    <row r="225" spans="12:20" x14ac:dyDescent="0.25">
      <c r="L225" s="59">
        <v>44318</v>
      </c>
      <c r="M225" s="32">
        <v>14823.15</v>
      </c>
      <c r="N225" s="69">
        <f t="shared" si="387"/>
        <v>9.9027102154274349E-3</v>
      </c>
      <c r="O225">
        <v>205.75</v>
      </c>
      <c r="P225" s="69">
        <f t="shared" si="387"/>
        <v>2.0454877514244352E-3</v>
      </c>
      <c r="Q225">
        <v>167.63</v>
      </c>
      <c r="R225" s="69">
        <f t="shared" ref="R225" si="444">Q225/Q224-1</f>
        <v>-1.1615566037735836E-2</v>
      </c>
      <c r="S225">
        <v>43.95</v>
      </c>
      <c r="T225" s="69">
        <f t="shared" ref="T225" si="445">S225/S224-1</f>
        <v>-7.4736842105263102E-2</v>
      </c>
    </row>
    <row r="226" spans="12:20" x14ac:dyDescent="0.25">
      <c r="L226" s="59">
        <v>44311</v>
      </c>
      <c r="M226" s="32">
        <v>14631.1</v>
      </c>
      <c r="N226" s="69">
        <f t="shared" si="387"/>
        <v>-1.2956085582349175E-2</v>
      </c>
      <c r="O226">
        <v>195.84</v>
      </c>
      <c r="P226" s="69">
        <f t="shared" si="387"/>
        <v>-4.8165249088699902E-2</v>
      </c>
      <c r="Q226">
        <v>156.43</v>
      </c>
      <c r="R226" s="69">
        <f t="shared" ref="R226" si="446">Q226/Q225-1</f>
        <v>-6.6813816142695104E-2</v>
      </c>
      <c r="S226">
        <v>43.25</v>
      </c>
      <c r="T226" s="69">
        <f t="shared" ref="T226" si="447">S226/S225-1</f>
        <v>-1.5927189988623525E-2</v>
      </c>
    </row>
    <row r="227" spans="12:20" x14ac:dyDescent="0.25">
      <c r="L227" s="59">
        <v>44304</v>
      </c>
      <c r="M227" s="32">
        <v>14341.35</v>
      </c>
      <c r="N227" s="69">
        <f t="shared" si="387"/>
        <v>-1.980370580475832E-2</v>
      </c>
      <c r="O227">
        <v>196.42</v>
      </c>
      <c r="P227" s="69">
        <f t="shared" si="387"/>
        <v>2.9616013071893654E-3</v>
      </c>
      <c r="Q227">
        <v>155.80000000000001</v>
      </c>
      <c r="R227" s="69">
        <f t="shared" ref="R227" si="448">Q227/Q226-1</f>
        <v>-4.0273604807261609E-3</v>
      </c>
      <c r="S227">
        <v>37.450000000000003</v>
      </c>
      <c r="T227" s="69">
        <f t="shared" ref="T227" si="449">S227/S226-1</f>
        <v>-0.1341040462427745</v>
      </c>
    </row>
    <row r="228" spans="12:20" x14ac:dyDescent="0.25">
      <c r="L228" s="59">
        <v>44297</v>
      </c>
      <c r="M228" s="32">
        <v>14617.85</v>
      </c>
      <c r="N228" s="69">
        <f t="shared" si="387"/>
        <v>1.927991437347254E-2</v>
      </c>
      <c r="O228">
        <v>192.12</v>
      </c>
      <c r="P228" s="69">
        <f t="shared" si="387"/>
        <v>-2.1891864372263425E-2</v>
      </c>
      <c r="Q228">
        <v>157.69999999999999</v>
      </c>
      <c r="R228" s="69">
        <f t="shared" ref="R228" si="450">Q228/Q227-1</f>
        <v>1.2195121951219301E-2</v>
      </c>
      <c r="S228">
        <v>37.549999999999997</v>
      </c>
      <c r="T228" s="69">
        <f t="shared" ref="T228" si="451">S228/S227-1</f>
        <v>2.6702269692921998E-3</v>
      </c>
    </row>
    <row r="229" spans="12:20" x14ac:dyDescent="0.25">
      <c r="L229" s="59">
        <v>44290</v>
      </c>
      <c r="M229" s="32">
        <v>14834.85</v>
      </c>
      <c r="N229" s="69">
        <f t="shared" si="387"/>
        <v>1.4844864326833296E-2</v>
      </c>
      <c r="O229">
        <v>197.6</v>
      </c>
      <c r="P229" s="69">
        <f t="shared" si="387"/>
        <v>2.8523839267124762E-2</v>
      </c>
      <c r="Q229">
        <v>156.03</v>
      </c>
      <c r="R229" s="69">
        <f t="shared" ref="R229" si="452">Q229/Q228-1</f>
        <v>-1.0589727330373999E-2</v>
      </c>
      <c r="S229">
        <v>38.950000000000003</v>
      </c>
      <c r="T229" s="69">
        <f t="shared" ref="T229" si="453">S229/S228-1</f>
        <v>3.7283621837550074E-2</v>
      </c>
    </row>
    <row r="230" spans="12:20" x14ac:dyDescent="0.25">
      <c r="L230" s="59">
        <v>44283</v>
      </c>
      <c r="M230" s="32">
        <v>14867.35</v>
      </c>
      <c r="N230" s="69">
        <f t="shared" si="387"/>
        <v>2.1907872341142554E-3</v>
      </c>
      <c r="O230">
        <v>203.08</v>
      </c>
      <c r="P230" s="69">
        <f t="shared" si="387"/>
        <v>2.7732793522267318E-2</v>
      </c>
      <c r="Q230">
        <v>158.4</v>
      </c>
      <c r="R230" s="69">
        <f t="shared" ref="R230" si="454">Q230/Q229-1</f>
        <v>1.518938665641234E-2</v>
      </c>
      <c r="S230">
        <v>40.049999999999997</v>
      </c>
      <c r="T230" s="69">
        <f t="shared" ref="T230" si="455">S230/S229-1</f>
        <v>2.8241335044929317E-2</v>
      </c>
    </row>
    <row r="231" spans="12:20" x14ac:dyDescent="0.25">
      <c r="L231" s="59">
        <v>44276</v>
      </c>
      <c r="M231" s="32">
        <v>14507.3</v>
      </c>
      <c r="N231" s="69">
        <f t="shared" si="387"/>
        <v>-2.4217496729410537E-2</v>
      </c>
      <c r="O231">
        <v>196.95</v>
      </c>
      <c r="P231" s="69">
        <f t="shared" si="387"/>
        <v>-3.0185148709868104E-2</v>
      </c>
      <c r="Q231">
        <v>153.19999999999999</v>
      </c>
      <c r="R231" s="69">
        <f t="shared" ref="R231" si="456">Q231/Q230-1</f>
        <v>-3.2828282828282984E-2</v>
      </c>
      <c r="S231">
        <v>38.700000000000003</v>
      </c>
      <c r="T231" s="69">
        <f t="shared" ref="T231" si="457">S231/S230-1</f>
        <v>-3.3707865168539186E-2</v>
      </c>
    </row>
    <row r="232" spans="12:20" x14ac:dyDescent="0.25">
      <c r="L232" s="59">
        <v>44269</v>
      </c>
      <c r="M232" s="32">
        <v>14744</v>
      </c>
      <c r="N232" s="69">
        <f t="shared" si="387"/>
        <v>1.6315923707374891E-2</v>
      </c>
      <c r="O232">
        <v>201.01</v>
      </c>
      <c r="P232" s="69">
        <f t="shared" si="387"/>
        <v>2.0614369129220655E-2</v>
      </c>
      <c r="Q232">
        <v>156.5</v>
      </c>
      <c r="R232" s="69">
        <f t="shared" ref="R232" si="458">Q232/Q231-1</f>
        <v>2.1540469973890364E-2</v>
      </c>
      <c r="S232">
        <v>40.9</v>
      </c>
      <c r="T232" s="69">
        <f t="shared" ref="T232" si="459">S232/S231-1</f>
        <v>5.6847545219638196E-2</v>
      </c>
    </row>
    <row r="233" spans="12:20" x14ac:dyDescent="0.25">
      <c r="L233" s="59">
        <v>44262</v>
      </c>
      <c r="M233" s="32">
        <v>15030.95</v>
      </c>
      <c r="N233" s="69">
        <f t="shared" si="387"/>
        <v>1.9462154096581807E-2</v>
      </c>
      <c r="O233">
        <v>212.43</v>
      </c>
      <c r="P233" s="69">
        <f t="shared" si="387"/>
        <v>5.681309387592659E-2</v>
      </c>
      <c r="Q233">
        <v>160.9</v>
      </c>
      <c r="R233" s="69">
        <f t="shared" ref="R233" si="460">Q233/Q232-1</f>
        <v>2.8115015974440993E-2</v>
      </c>
      <c r="S233">
        <v>41.9</v>
      </c>
      <c r="T233" s="69">
        <f t="shared" ref="T233" si="461">S233/S232-1</f>
        <v>2.4449877750611249E-2</v>
      </c>
    </row>
    <row r="234" spans="12:20" x14ac:dyDescent="0.25">
      <c r="L234" s="59">
        <v>44255</v>
      </c>
      <c r="M234" s="32">
        <v>14938.1</v>
      </c>
      <c r="N234" s="69">
        <f t="shared" si="387"/>
        <v>-6.1772542653658613E-3</v>
      </c>
      <c r="O234">
        <v>214.41</v>
      </c>
      <c r="P234" s="69">
        <f t="shared" si="387"/>
        <v>9.3207174127947212E-3</v>
      </c>
      <c r="Q234">
        <v>162.13</v>
      </c>
      <c r="R234" s="69">
        <f t="shared" ref="R234" si="462">Q234/Q233-1</f>
        <v>7.6444996892479633E-3</v>
      </c>
      <c r="S234">
        <v>42.4</v>
      </c>
      <c r="T234" s="69">
        <f t="shared" ref="T234" si="463">S234/S233-1</f>
        <v>1.193317422434359E-2</v>
      </c>
    </row>
    <row r="235" spans="12:20" x14ac:dyDescent="0.25">
      <c r="L235" s="59">
        <v>44248</v>
      </c>
      <c r="M235" s="32">
        <v>14529.15</v>
      </c>
      <c r="N235" s="69">
        <f t="shared" si="387"/>
        <v>-2.7376306223683144E-2</v>
      </c>
      <c r="O235">
        <v>208.86</v>
      </c>
      <c r="P235" s="69">
        <f t="shared" si="387"/>
        <v>-2.5884986707709445E-2</v>
      </c>
      <c r="Q235">
        <v>161.63</v>
      </c>
      <c r="R235" s="69">
        <f t="shared" ref="R235" si="464">Q235/Q234-1</f>
        <v>-3.0839449824214826E-3</v>
      </c>
      <c r="S235">
        <v>40.35</v>
      </c>
      <c r="T235" s="69">
        <f t="shared" ref="T235" si="465">S235/S234-1</f>
        <v>-4.8349056603773533E-2</v>
      </c>
    </row>
    <row r="236" spans="12:20" x14ac:dyDescent="0.25">
      <c r="L236" s="59">
        <v>44241</v>
      </c>
      <c r="M236" s="32">
        <v>14981.75</v>
      </c>
      <c r="N236" s="69">
        <f t="shared" si="387"/>
        <v>3.1151168512955074E-2</v>
      </c>
      <c r="O236">
        <v>199.64</v>
      </c>
      <c r="P236" s="69">
        <f t="shared" si="387"/>
        <v>-4.4144402949344186E-2</v>
      </c>
      <c r="Q236">
        <v>162.66999999999999</v>
      </c>
      <c r="R236" s="69">
        <f t="shared" ref="R236" si="466">Q236/Q235-1</f>
        <v>6.4344490503001062E-3</v>
      </c>
      <c r="S236">
        <v>37.6</v>
      </c>
      <c r="T236" s="69">
        <f t="shared" ref="T236" si="467">S236/S235-1</f>
        <v>-6.8153655514250344E-2</v>
      </c>
    </row>
    <row r="237" spans="12:20" x14ac:dyDescent="0.25">
      <c r="L237" s="59">
        <v>44234</v>
      </c>
      <c r="M237" s="32">
        <v>15163.3</v>
      </c>
      <c r="N237" s="69">
        <f t="shared" si="387"/>
        <v>1.2118076993675508E-2</v>
      </c>
      <c r="O237">
        <v>194.12</v>
      </c>
      <c r="P237" s="69">
        <f t="shared" si="387"/>
        <v>-2.7649769585253337E-2</v>
      </c>
      <c r="Q237">
        <v>149.22999999999999</v>
      </c>
      <c r="R237" s="69">
        <f t="shared" ref="R237" si="468">Q237/Q236-1</f>
        <v>-8.26212577611114E-2</v>
      </c>
      <c r="S237">
        <v>34.799999999999997</v>
      </c>
      <c r="T237" s="69">
        <f t="shared" ref="T237" si="469">S237/S236-1</f>
        <v>-7.4468085106383142E-2</v>
      </c>
    </row>
    <row r="238" spans="12:20" x14ac:dyDescent="0.25">
      <c r="L238" s="59">
        <v>44227</v>
      </c>
      <c r="M238" s="32">
        <v>14924.25</v>
      </c>
      <c r="N238" s="69">
        <f t="shared" si="387"/>
        <v>-1.5765037953479721E-2</v>
      </c>
      <c r="O238">
        <v>192.68</v>
      </c>
      <c r="P238" s="69">
        <f t="shared" si="387"/>
        <v>-7.4180919019163349E-3</v>
      </c>
      <c r="Q238">
        <v>150.03</v>
      </c>
      <c r="R238" s="69">
        <f t="shared" ref="R238" si="470">Q238/Q237-1</f>
        <v>5.3608523755277471E-3</v>
      </c>
      <c r="S238">
        <v>35.4</v>
      </c>
      <c r="T238" s="69">
        <f t="shared" ref="T238" si="471">S238/S237-1</f>
        <v>1.7241379310344973E-2</v>
      </c>
    </row>
    <row r="239" spans="12:20" x14ac:dyDescent="0.25">
      <c r="L239" s="59">
        <v>44220</v>
      </c>
      <c r="M239" s="32">
        <v>13634.6</v>
      </c>
      <c r="N239" s="69">
        <f t="shared" si="387"/>
        <v>-8.6413052582206773E-2</v>
      </c>
      <c r="O239">
        <v>178.1</v>
      </c>
      <c r="P239" s="69">
        <f t="shared" si="387"/>
        <v>-7.56695038405647E-2</v>
      </c>
      <c r="Q239">
        <v>145.72999999999999</v>
      </c>
      <c r="R239" s="69">
        <f t="shared" ref="R239" si="472">Q239/Q238-1</f>
        <v>-2.8660934479770805E-2</v>
      </c>
      <c r="S239">
        <v>35.9</v>
      </c>
      <c r="T239" s="69">
        <f t="shared" ref="T239" si="473">S239/S238-1</f>
        <v>1.4124293785310771E-2</v>
      </c>
    </row>
    <row r="240" spans="12:20" x14ac:dyDescent="0.25">
      <c r="L240" s="59">
        <v>44213</v>
      </c>
      <c r="M240" s="32">
        <v>14371.9</v>
      </c>
      <c r="N240" s="69">
        <f t="shared" si="387"/>
        <v>5.4075660452085117E-2</v>
      </c>
      <c r="O240">
        <v>183.88</v>
      </c>
      <c r="P240" s="69">
        <f t="shared" si="387"/>
        <v>3.2453677709152196E-2</v>
      </c>
      <c r="Q240">
        <v>150.27000000000001</v>
      </c>
      <c r="R240" s="69">
        <f t="shared" ref="R240" si="474">Q240/Q239-1</f>
        <v>3.1153503053592324E-2</v>
      </c>
      <c r="S240">
        <v>38.1</v>
      </c>
      <c r="T240" s="69">
        <f t="shared" ref="T240" si="475">S240/S239-1</f>
        <v>6.1281337047353945E-2</v>
      </c>
    </row>
    <row r="241" spans="12:20" x14ac:dyDescent="0.25">
      <c r="L241" s="59">
        <v>44206</v>
      </c>
      <c r="M241" s="32">
        <v>14433.7</v>
      </c>
      <c r="N241" s="69">
        <f t="shared" si="387"/>
        <v>4.3000577515848182E-3</v>
      </c>
      <c r="O241">
        <v>192.49</v>
      </c>
      <c r="P241" s="69">
        <f t="shared" si="387"/>
        <v>4.6824015662388696E-2</v>
      </c>
      <c r="Q241">
        <v>152.4</v>
      </c>
      <c r="R241" s="69">
        <f t="shared" ref="R241" si="476">Q241/Q240-1</f>
        <v>1.4174485925334324E-2</v>
      </c>
      <c r="S241">
        <v>39.5</v>
      </c>
      <c r="T241" s="69">
        <f t="shared" ref="T241" si="477">S241/S240-1</f>
        <v>3.6745406824146842E-2</v>
      </c>
    </row>
    <row r="242" spans="12:20" x14ac:dyDescent="0.25">
      <c r="L242" s="59">
        <v>44199</v>
      </c>
      <c r="M242" s="32">
        <v>14347.25</v>
      </c>
      <c r="N242" s="69">
        <f t="shared" si="387"/>
        <v>-5.9894552332389051E-3</v>
      </c>
      <c r="O242">
        <v>185.78</v>
      </c>
      <c r="P242" s="69">
        <f t="shared" si="387"/>
        <v>-3.4858953711881191E-2</v>
      </c>
      <c r="Q242">
        <v>150.33000000000001</v>
      </c>
      <c r="R242" s="69">
        <f t="shared" ref="R242" si="478">Q242/Q241-1</f>
        <v>-1.3582677165354329E-2</v>
      </c>
      <c r="S242">
        <v>38.700000000000003</v>
      </c>
      <c r="T242" s="69">
        <f t="shared" ref="T242" si="479">S242/S241-1</f>
        <v>-2.0253164556961911E-2</v>
      </c>
    </row>
    <row r="243" spans="12:20" x14ac:dyDescent="0.25">
      <c r="L243" s="59">
        <v>44192</v>
      </c>
      <c r="M243" s="32">
        <v>14018.5</v>
      </c>
      <c r="N243" s="69">
        <f t="shared" si="387"/>
        <v>-2.2913798811618924E-2</v>
      </c>
      <c r="O243">
        <v>177.33</v>
      </c>
      <c r="P243" s="69">
        <f t="shared" si="387"/>
        <v>-4.54839056949079E-2</v>
      </c>
      <c r="Q243">
        <v>147.5</v>
      </c>
      <c r="R243" s="69">
        <f t="shared" ref="R243" si="480">Q243/Q242-1</f>
        <v>-1.8825251114215513E-2</v>
      </c>
      <c r="S243">
        <v>35.950000000000003</v>
      </c>
      <c r="T243" s="69">
        <f t="shared" ref="T243" si="481">S243/S242-1</f>
        <v>-7.1059431524547745E-2</v>
      </c>
    </row>
    <row r="244" spans="12:20" x14ac:dyDescent="0.25">
      <c r="L244" s="59">
        <v>44185</v>
      </c>
      <c r="M244" s="32">
        <v>13749.25</v>
      </c>
      <c r="N244" s="69">
        <f t="shared" si="387"/>
        <v>-1.9206762492420704E-2</v>
      </c>
      <c r="O244">
        <v>175.29</v>
      </c>
      <c r="P244" s="69">
        <f t="shared" si="387"/>
        <v>-1.1503975638639918E-2</v>
      </c>
      <c r="Q244">
        <v>142.43</v>
      </c>
      <c r="R244" s="69">
        <f t="shared" ref="R244" si="482">Q244/Q243-1</f>
        <v>-3.4372881355932194E-2</v>
      </c>
      <c r="S244">
        <v>34.15</v>
      </c>
      <c r="T244" s="69">
        <f t="shared" ref="T244" si="483">S244/S243-1</f>
        <v>-5.0069541029207354E-2</v>
      </c>
    </row>
    <row r="245" spans="12:20" x14ac:dyDescent="0.25">
      <c r="L245" s="59">
        <v>44178</v>
      </c>
      <c r="M245" s="32">
        <v>13760.55</v>
      </c>
      <c r="N245" s="69">
        <f t="shared" si="387"/>
        <v>8.2186301070952261E-4</v>
      </c>
      <c r="O245">
        <v>182.86</v>
      </c>
      <c r="P245" s="69">
        <f t="shared" si="387"/>
        <v>4.3185578184722573E-2</v>
      </c>
      <c r="Q245">
        <v>149.6</v>
      </c>
      <c r="R245" s="69">
        <f t="shared" ref="R245" si="484">Q245/Q244-1</f>
        <v>5.0340518149266211E-2</v>
      </c>
      <c r="S245">
        <v>34.950000000000003</v>
      </c>
      <c r="T245" s="69">
        <f t="shared" ref="T245" si="485">S245/S244-1</f>
        <v>2.3426061493411643E-2</v>
      </c>
    </row>
    <row r="246" spans="12:20" x14ac:dyDescent="0.25">
      <c r="L246" s="59">
        <v>44171</v>
      </c>
      <c r="M246" s="32">
        <v>13513.85</v>
      </c>
      <c r="N246" s="69">
        <f t="shared" si="387"/>
        <v>-1.7928062468433259E-2</v>
      </c>
      <c r="O246">
        <v>184.51</v>
      </c>
      <c r="P246" s="69">
        <f t="shared" si="387"/>
        <v>9.0232965109919849E-3</v>
      </c>
      <c r="Q246">
        <v>144.9</v>
      </c>
      <c r="R246" s="69">
        <f t="shared" ref="R246" si="486">Q246/Q245-1</f>
        <v>-3.14171122994652E-2</v>
      </c>
      <c r="S246">
        <v>34.799999999999997</v>
      </c>
      <c r="T246" s="69">
        <f t="shared" ref="T246" si="487">S246/S245-1</f>
        <v>-4.2918454935624295E-3</v>
      </c>
    </row>
    <row r="247" spans="12:20" x14ac:dyDescent="0.25">
      <c r="L247" s="59">
        <v>44164</v>
      </c>
      <c r="M247" s="32">
        <v>13258.55</v>
      </c>
      <c r="N247" s="69">
        <f t="shared" si="387"/>
        <v>-1.8891729595933104E-2</v>
      </c>
      <c r="O247">
        <v>182.14</v>
      </c>
      <c r="P247" s="69">
        <f t="shared" si="387"/>
        <v>-1.2844832258414152E-2</v>
      </c>
      <c r="Q247">
        <v>144.43</v>
      </c>
      <c r="R247" s="69">
        <f t="shared" ref="R247" si="488">Q247/Q246-1</f>
        <v>-3.2436162870945751E-3</v>
      </c>
      <c r="S247">
        <v>32.85</v>
      </c>
      <c r="T247" s="69">
        <f t="shared" ref="T247" si="489">S247/S246-1</f>
        <v>-5.6034482758620552E-2</v>
      </c>
    </row>
    <row r="248" spans="12:20" x14ac:dyDescent="0.25">
      <c r="L248" s="59">
        <v>44157</v>
      </c>
      <c r="M248" s="32">
        <v>12968.95</v>
      </c>
      <c r="N248" s="69">
        <f t="shared" si="387"/>
        <v>-2.1842509173325753E-2</v>
      </c>
      <c r="O248">
        <v>173.18</v>
      </c>
      <c r="P248" s="69">
        <f t="shared" si="387"/>
        <v>-4.919292851652568E-2</v>
      </c>
      <c r="Q248">
        <v>139.57</v>
      </c>
      <c r="R248" s="69">
        <f t="shared" ref="R248" si="490">Q248/Q247-1</f>
        <v>-3.3649518798033795E-2</v>
      </c>
      <c r="S248">
        <v>29.5</v>
      </c>
      <c r="T248" s="69">
        <f t="shared" ref="T248" si="491">S248/S247-1</f>
        <v>-0.10197869101978696</v>
      </c>
    </row>
    <row r="249" spans="12:20" x14ac:dyDescent="0.25">
      <c r="L249" s="59">
        <v>44150</v>
      </c>
      <c r="M249" s="32">
        <v>12859.05</v>
      </c>
      <c r="N249" s="69">
        <f t="shared" si="387"/>
        <v>-8.4740861827674596E-3</v>
      </c>
      <c r="O249">
        <v>177.96</v>
      </c>
      <c r="P249" s="69">
        <f t="shared" si="387"/>
        <v>2.7601339646610379E-2</v>
      </c>
      <c r="Q249">
        <v>142.69999999999999</v>
      </c>
      <c r="R249" s="69">
        <f t="shared" ref="R249" si="492">Q249/Q248-1</f>
        <v>2.2426022784265864E-2</v>
      </c>
      <c r="S249">
        <v>27.8</v>
      </c>
      <c r="T249" s="69">
        <f t="shared" ref="T249" si="493">S249/S248-1</f>
        <v>-5.7627118644067776E-2</v>
      </c>
    </row>
    <row r="250" spans="12:20" x14ac:dyDescent="0.25">
      <c r="L250" s="59">
        <v>44143</v>
      </c>
      <c r="M250" s="32">
        <v>12719.95</v>
      </c>
      <c r="N250" s="69">
        <f t="shared" si="387"/>
        <v>-1.0817284325047249E-2</v>
      </c>
      <c r="O250">
        <v>182.93</v>
      </c>
      <c r="P250" s="69">
        <f t="shared" si="387"/>
        <v>2.792762418521022E-2</v>
      </c>
      <c r="Q250">
        <v>143.1</v>
      </c>
      <c r="R250" s="69">
        <f t="shared" ref="R250" si="494">Q250/Q249-1</f>
        <v>2.803083391730965E-3</v>
      </c>
      <c r="S250">
        <v>27.5</v>
      </c>
      <c r="T250" s="69">
        <f t="shared" ref="T250" si="495">S250/S249-1</f>
        <v>-1.0791366906474864E-2</v>
      </c>
    </row>
    <row r="251" spans="12:20" x14ac:dyDescent="0.25">
      <c r="L251" s="59">
        <v>44136</v>
      </c>
      <c r="M251" s="32">
        <v>12263.55</v>
      </c>
      <c r="N251" s="69">
        <f t="shared" si="387"/>
        <v>-3.5880644184922206E-2</v>
      </c>
      <c r="O251">
        <v>168.28</v>
      </c>
      <c r="P251" s="69">
        <f t="shared" si="387"/>
        <v>-8.0085278521838998E-2</v>
      </c>
      <c r="Q251">
        <v>136.9</v>
      </c>
      <c r="R251" s="69">
        <f t="shared" ref="R251" si="496">Q251/Q250-1</f>
        <v>-4.3326345213137607E-2</v>
      </c>
      <c r="S251">
        <v>27.2</v>
      </c>
      <c r="T251" s="69">
        <f t="shared" ref="T251" si="497">S251/S250-1</f>
        <v>-1.0909090909090979E-2</v>
      </c>
    </row>
    <row r="252" spans="12:20" x14ac:dyDescent="0.25">
      <c r="L252" s="59">
        <v>44129</v>
      </c>
      <c r="M252" s="32">
        <v>11642.4</v>
      </c>
      <c r="N252" s="69">
        <f t="shared" si="387"/>
        <v>-5.0650097239380076E-2</v>
      </c>
      <c r="O252">
        <v>164.57</v>
      </c>
      <c r="P252" s="69">
        <f t="shared" si="387"/>
        <v>-2.204658901830292E-2</v>
      </c>
      <c r="Q252">
        <v>125.1</v>
      </c>
      <c r="R252" s="69">
        <f t="shared" ref="R252" si="498">Q252/Q251-1</f>
        <v>-8.6194302410518731E-2</v>
      </c>
      <c r="S252">
        <v>28.9</v>
      </c>
      <c r="T252" s="69">
        <f t="shared" ref="T252" si="499">S252/S251-1</f>
        <v>6.25E-2</v>
      </c>
    </row>
    <row r="253" spans="12:20" x14ac:dyDescent="0.25">
      <c r="L253" s="59">
        <v>44122</v>
      </c>
      <c r="M253" s="32">
        <v>11930.35</v>
      </c>
      <c r="N253" s="69">
        <f t="shared" si="387"/>
        <v>2.4732872947158757E-2</v>
      </c>
      <c r="O253">
        <v>163.22</v>
      </c>
      <c r="P253" s="69">
        <f t="shared" si="387"/>
        <v>-8.2031962083003451E-3</v>
      </c>
      <c r="Q253">
        <v>121.7</v>
      </c>
      <c r="R253" s="69">
        <f t="shared" ref="R253" si="500">Q253/Q252-1</f>
        <v>-2.7178257394084637E-2</v>
      </c>
      <c r="S253">
        <v>29.3</v>
      </c>
      <c r="T253" s="69">
        <f t="shared" ref="T253" si="501">S253/S252-1</f>
        <v>1.384083044982698E-2</v>
      </c>
    </row>
    <row r="254" spans="12:20" x14ac:dyDescent="0.25">
      <c r="L254" s="59">
        <v>44115</v>
      </c>
      <c r="M254" s="32">
        <v>11762.45</v>
      </c>
      <c r="N254" s="69">
        <f t="shared" si="387"/>
        <v>-1.4073350739919555E-2</v>
      </c>
      <c r="O254">
        <v>157.83000000000001</v>
      </c>
      <c r="P254" s="69">
        <f t="shared" si="387"/>
        <v>-3.3022913858595682E-2</v>
      </c>
      <c r="Q254">
        <v>112.87</v>
      </c>
      <c r="R254" s="69">
        <f t="shared" ref="R254" si="502">Q254/Q253-1</f>
        <v>-7.2555464256368052E-2</v>
      </c>
      <c r="S254">
        <v>25.6</v>
      </c>
      <c r="T254" s="69">
        <f t="shared" ref="T254" si="503">S254/S253-1</f>
        <v>-0.12627986348122866</v>
      </c>
    </row>
    <row r="255" spans="12:20" x14ac:dyDescent="0.25">
      <c r="L255" s="59">
        <v>44108</v>
      </c>
      <c r="M255" s="32">
        <v>11914.2</v>
      </c>
      <c r="N255" s="69">
        <f t="shared" si="387"/>
        <v>1.2901223809665519E-2</v>
      </c>
      <c r="O255">
        <v>160.18</v>
      </c>
      <c r="P255" s="69">
        <f t="shared" si="387"/>
        <v>1.4889438002914535E-2</v>
      </c>
      <c r="Q255">
        <v>117.33</v>
      </c>
      <c r="R255" s="69">
        <f t="shared" ref="R255" si="504">Q255/Q254-1</f>
        <v>3.9514485691503509E-2</v>
      </c>
      <c r="S255">
        <v>26.45</v>
      </c>
      <c r="T255" s="69">
        <f t="shared" ref="T255" si="505">S255/S254-1</f>
        <v>3.3203125E-2</v>
      </c>
    </row>
    <row r="256" spans="12:20" x14ac:dyDescent="0.25">
      <c r="L256" s="59">
        <v>44101</v>
      </c>
      <c r="M256" s="32">
        <v>11416.95</v>
      </c>
      <c r="N256" s="69">
        <f t="shared" si="387"/>
        <v>-4.173591176914937E-2</v>
      </c>
      <c r="O256">
        <v>164.03</v>
      </c>
      <c r="P256" s="69">
        <f t="shared" si="387"/>
        <v>2.4035460107379114E-2</v>
      </c>
      <c r="Q256">
        <v>117</v>
      </c>
      <c r="R256" s="69">
        <f t="shared" ref="R256" si="506">Q256/Q255-1</f>
        <v>-2.8125799028381193E-3</v>
      </c>
      <c r="S256">
        <v>26.35</v>
      </c>
      <c r="T256" s="69">
        <f t="shared" ref="T256" si="507">S256/S255-1</f>
        <v>-3.780718336483857E-3</v>
      </c>
    </row>
    <row r="257" spans="12:20" x14ac:dyDescent="0.25">
      <c r="L257" s="59">
        <v>44094</v>
      </c>
      <c r="M257" s="32">
        <v>11050.25</v>
      </c>
      <c r="N257" s="69">
        <f t="shared" si="387"/>
        <v>-3.2118910917539378E-2</v>
      </c>
      <c r="O257">
        <v>174.46</v>
      </c>
      <c r="P257" s="69">
        <f t="shared" si="387"/>
        <v>6.3585929403157992E-2</v>
      </c>
      <c r="Q257">
        <v>119.07</v>
      </c>
      <c r="R257" s="69">
        <f t="shared" ref="R257" si="508">Q257/Q256-1</f>
        <v>1.7692307692307674E-2</v>
      </c>
      <c r="S257">
        <v>27</v>
      </c>
      <c r="T257" s="69">
        <f t="shared" ref="T257" si="509">S257/S256-1</f>
        <v>2.4667931688804545E-2</v>
      </c>
    </row>
    <row r="258" spans="12:20" x14ac:dyDescent="0.25">
      <c r="L258" s="59">
        <v>44087</v>
      </c>
      <c r="M258" s="32">
        <v>11504.95</v>
      </c>
      <c r="N258" s="69">
        <f t="shared" si="387"/>
        <v>4.1148390307911731E-2</v>
      </c>
      <c r="O258">
        <v>191.31</v>
      </c>
      <c r="P258" s="69">
        <f t="shared" si="387"/>
        <v>9.65837441247277E-2</v>
      </c>
      <c r="Q258">
        <v>129.37</v>
      </c>
      <c r="R258" s="69">
        <f t="shared" ref="R258" si="510">Q258/Q257-1</f>
        <v>8.650373729738825E-2</v>
      </c>
      <c r="S258">
        <v>28.85</v>
      </c>
      <c r="T258" s="69">
        <f t="shared" ref="T258" si="511">S258/S257-1</f>
        <v>6.8518518518518645E-2</v>
      </c>
    </row>
    <row r="259" spans="12:20" x14ac:dyDescent="0.25">
      <c r="L259" s="59">
        <v>44080</v>
      </c>
      <c r="M259" s="32">
        <v>11464.45</v>
      </c>
      <c r="N259" s="69">
        <f t="shared" si="387"/>
        <v>-3.5202239036240535E-3</v>
      </c>
      <c r="O259">
        <v>199.06</v>
      </c>
      <c r="P259" s="69">
        <f t="shared" si="387"/>
        <v>4.051016674507335E-2</v>
      </c>
      <c r="Q259">
        <v>132.77000000000001</v>
      </c>
      <c r="R259" s="69">
        <f t="shared" ref="R259" si="512">Q259/Q258-1</f>
        <v>2.6281208935611033E-2</v>
      </c>
      <c r="S259">
        <v>29.95</v>
      </c>
      <c r="T259" s="69">
        <f t="shared" ref="T259" si="513">S259/S258-1</f>
        <v>3.8128249566724337E-2</v>
      </c>
    </row>
    <row r="260" spans="12:20" x14ac:dyDescent="0.25">
      <c r="L260" s="59">
        <v>44073</v>
      </c>
      <c r="M260" s="32">
        <v>11333.85</v>
      </c>
      <c r="N260" s="69">
        <f t="shared" si="387"/>
        <v>-1.1391737065450158E-2</v>
      </c>
      <c r="O260">
        <v>187.27</v>
      </c>
      <c r="P260" s="69">
        <f t="shared" si="387"/>
        <v>-5.9228373354767383E-2</v>
      </c>
      <c r="Q260">
        <v>131.4</v>
      </c>
      <c r="R260" s="69">
        <f t="shared" ref="R260" si="514">Q260/Q259-1</f>
        <v>-1.031859606838903E-2</v>
      </c>
      <c r="S260">
        <v>31.5</v>
      </c>
      <c r="T260" s="69">
        <f t="shared" ref="T260" si="515">S260/S259-1</f>
        <v>5.175292153589317E-2</v>
      </c>
    </row>
    <row r="261" spans="12:20" x14ac:dyDescent="0.25">
      <c r="L261" s="59">
        <v>44066</v>
      </c>
      <c r="M261" s="32">
        <v>11647.6</v>
      </c>
      <c r="N261" s="69">
        <f t="shared" ref="N261:P263" si="516">M261/M260-1</f>
        <v>2.7682561530283145E-2</v>
      </c>
      <c r="O261">
        <v>192.7</v>
      </c>
      <c r="P261" s="69">
        <f t="shared" si="516"/>
        <v>2.8995567896619834E-2</v>
      </c>
      <c r="Q261">
        <v>139.72999999999999</v>
      </c>
      <c r="R261" s="69">
        <f t="shared" ref="R261" si="517">Q261/Q260-1</f>
        <v>6.3394216133942027E-2</v>
      </c>
      <c r="S261">
        <v>33.5</v>
      </c>
      <c r="T261" s="69">
        <f t="shared" ref="T261" si="518">S261/S260-1</f>
        <v>6.3492063492063489E-2</v>
      </c>
    </row>
    <row r="262" spans="12:20" x14ac:dyDescent="0.25">
      <c r="L262" s="59">
        <v>44059</v>
      </c>
      <c r="M262" s="32">
        <v>11371.6</v>
      </c>
      <c r="N262" s="69">
        <f t="shared" si="516"/>
        <v>-2.3695868676808951E-2</v>
      </c>
      <c r="O262">
        <v>190.4</v>
      </c>
      <c r="P262" s="69">
        <f t="shared" si="516"/>
        <v>-1.1935651271406278E-2</v>
      </c>
      <c r="Q262">
        <v>141.63</v>
      </c>
      <c r="R262" s="69">
        <f t="shared" ref="R262" si="519">Q262/Q261-1</f>
        <v>1.359765261575907E-2</v>
      </c>
      <c r="S262">
        <v>34.450000000000003</v>
      </c>
      <c r="T262" s="69">
        <f t="shared" ref="T262" si="520">S262/S261-1</f>
        <v>2.8358208955223896E-2</v>
      </c>
    </row>
    <row r="263" spans="12:20" x14ac:dyDescent="0.25">
      <c r="L263" s="59">
        <v>44052</v>
      </c>
      <c r="M263" s="32">
        <v>11178.4</v>
      </c>
      <c r="N263" s="69">
        <f t="shared" si="516"/>
        <v>-1.6989693622709301E-2</v>
      </c>
      <c r="O263">
        <v>191.87</v>
      </c>
      <c r="P263" s="69">
        <f t="shared" si="516"/>
        <v>7.7205882352942012E-3</v>
      </c>
      <c r="Q263">
        <v>139.1</v>
      </c>
      <c r="R263" s="69">
        <f t="shared" ref="R263" si="521">Q263/Q262-1</f>
        <v>-1.7863447009814348E-2</v>
      </c>
      <c r="S263">
        <v>33.35</v>
      </c>
      <c r="T263" s="69">
        <f t="shared" ref="T263" si="522">S263/S262-1</f>
        <v>-3.1930333817126288E-2</v>
      </c>
    </row>
  </sheetData>
  <mergeCells count="3">
    <mergeCell ref="B2:F3"/>
    <mergeCell ref="B4:F4"/>
    <mergeCell ref="C15:E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C9B9C-642D-417A-84A5-33451FBCE631}">
  <dimension ref="B1:N34"/>
  <sheetViews>
    <sheetView showGridLines="0" workbookViewId="0">
      <selection activeCell="R13" sqref="R13"/>
    </sheetView>
  </sheetViews>
  <sheetFormatPr defaultRowHeight="15" x14ac:dyDescent="0.25"/>
  <cols>
    <col min="1" max="1" width="2.28515625" customWidth="1"/>
    <col min="3" max="3" width="9.85546875" bestFit="1" customWidth="1"/>
    <col min="8" max="8" width="11.140625" bestFit="1" customWidth="1"/>
  </cols>
  <sheetData>
    <row r="1" spans="2:11" x14ac:dyDescent="0.25">
      <c r="B1" s="11"/>
      <c r="C1" s="11"/>
      <c r="D1" s="11"/>
      <c r="E1" s="11"/>
      <c r="F1" s="11"/>
      <c r="G1" s="11"/>
      <c r="H1" s="11"/>
      <c r="I1" s="11"/>
      <c r="J1" s="11"/>
      <c r="K1" s="11"/>
    </row>
    <row r="2" spans="2:11" ht="21" x14ac:dyDescent="0.25">
      <c r="B2" s="320" t="str">
        <f>'Data Sheet'!B1</f>
        <v>RELIANCE INDUSTRIES LTD</v>
      </c>
      <c r="C2" s="320"/>
      <c r="D2" s="321"/>
      <c r="E2" s="321"/>
      <c r="F2" s="321"/>
      <c r="G2" s="57"/>
      <c r="H2" s="11"/>
      <c r="I2" s="11"/>
      <c r="J2" s="11"/>
      <c r="K2" s="11"/>
    </row>
    <row r="3" spans="2:11" ht="21" x14ac:dyDescent="0.25">
      <c r="B3" s="321"/>
      <c r="C3" s="321"/>
      <c r="D3" s="321"/>
      <c r="E3" s="321"/>
      <c r="F3" s="321"/>
      <c r="G3" s="57"/>
      <c r="H3" s="11"/>
      <c r="I3" s="11"/>
      <c r="J3" s="11"/>
      <c r="K3" s="11"/>
    </row>
    <row r="4" spans="2:11" ht="15.75" x14ac:dyDescent="0.25">
      <c r="B4" s="314" t="s">
        <v>63</v>
      </c>
      <c r="C4" s="314"/>
      <c r="D4" s="314"/>
      <c r="E4" s="314"/>
      <c r="F4" s="314"/>
      <c r="G4" s="58"/>
      <c r="H4" s="11"/>
      <c r="I4" s="11"/>
      <c r="J4" s="11"/>
      <c r="K4" s="11"/>
    </row>
    <row r="8" spans="2:11" x14ac:dyDescent="0.25">
      <c r="B8" s="80" t="s">
        <v>155</v>
      </c>
      <c r="C8" s="81" t="s">
        <v>211</v>
      </c>
    </row>
    <row r="9" spans="2:11" x14ac:dyDescent="0.25">
      <c r="B9" s="9">
        <v>2000</v>
      </c>
      <c r="C9" s="78">
        <v>-0.14649999999999999</v>
      </c>
      <c r="D9" s="19"/>
    </row>
    <row r="10" spans="2:11" x14ac:dyDescent="0.25">
      <c r="B10" s="9">
        <v>2001</v>
      </c>
      <c r="C10" s="78">
        <v>-0.1618</v>
      </c>
      <c r="D10" s="19"/>
    </row>
    <row r="11" spans="2:11" x14ac:dyDescent="0.25">
      <c r="B11" s="9">
        <v>2002</v>
      </c>
      <c r="C11" s="78">
        <v>3.2500000000000001E-2</v>
      </c>
      <c r="D11" s="19"/>
      <c r="F11" t="s">
        <v>212</v>
      </c>
      <c r="H11" s="4">
        <f>AVERAGE(C9:C33)</f>
        <v>0.15334799999999998</v>
      </c>
    </row>
    <row r="12" spans="2:11" ht="17.25" x14ac:dyDescent="0.25">
      <c r="B12" s="9">
        <v>2003</v>
      </c>
      <c r="C12" s="78">
        <v>0.71900000000000008</v>
      </c>
      <c r="D12" s="19"/>
      <c r="F12" t="s">
        <v>213</v>
      </c>
      <c r="H12" s="82" t="s">
        <v>215</v>
      </c>
    </row>
    <row r="13" spans="2:11" x14ac:dyDescent="0.25">
      <c r="B13" s="9">
        <v>2004</v>
      </c>
      <c r="C13" s="78">
        <v>0.10679999999999999</v>
      </c>
      <c r="D13" s="19"/>
      <c r="F13" s="83" t="s">
        <v>214</v>
      </c>
      <c r="G13" s="83"/>
      <c r="H13" s="84">
        <f>SUM(H11:H12)</f>
        <v>0.15334799999999998</v>
      </c>
    </row>
    <row r="14" spans="2:11" x14ac:dyDescent="0.25">
      <c r="B14" s="9">
        <v>2005</v>
      </c>
      <c r="C14" s="78">
        <v>0.36340000000000006</v>
      </c>
      <c r="D14" s="19"/>
    </row>
    <row r="15" spans="2:11" x14ac:dyDescent="0.25">
      <c r="B15" s="9">
        <v>2006</v>
      </c>
      <c r="C15" s="78">
        <v>0.39829999999999999</v>
      </c>
      <c r="D15" s="19"/>
    </row>
    <row r="16" spans="2:11" x14ac:dyDescent="0.25">
      <c r="B16" s="9">
        <v>2007</v>
      </c>
      <c r="C16" s="78">
        <v>0.54770000000000008</v>
      </c>
      <c r="D16" s="19"/>
    </row>
    <row r="17" spans="2:14" x14ac:dyDescent="0.25">
      <c r="B17" s="9">
        <v>2008</v>
      </c>
      <c r="C17" s="78">
        <v>-0.51790000000000003</v>
      </c>
      <c r="D17" s="19"/>
    </row>
    <row r="18" spans="2:14" x14ac:dyDescent="0.25">
      <c r="B18" s="9">
        <v>2009</v>
      </c>
      <c r="C18" s="78">
        <v>0.75760000000000005</v>
      </c>
      <c r="D18" s="19"/>
      <c r="N18" s="34"/>
    </row>
    <row r="19" spans="2:14" x14ac:dyDescent="0.25">
      <c r="B19" s="9">
        <v>2010</v>
      </c>
      <c r="C19" s="78">
        <v>0.17949999999999999</v>
      </c>
      <c r="D19" s="19"/>
    </row>
    <row r="20" spans="2:14" x14ac:dyDescent="0.25">
      <c r="B20" s="9">
        <v>2011</v>
      </c>
      <c r="C20" s="78">
        <v>-0.2462</v>
      </c>
      <c r="D20" s="19"/>
    </row>
    <row r="21" spans="2:14" x14ac:dyDescent="0.25">
      <c r="B21" s="9">
        <v>2012</v>
      </c>
      <c r="C21" s="78">
        <v>0.27699999999999997</v>
      </c>
      <c r="D21" s="19"/>
    </row>
    <row r="22" spans="2:14" x14ac:dyDescent="0.25">
      <c r="B22" s="9">
        <v>2013</v>
      </c>
      <c r="C22" s="78">
        <v>6.7599999999999993E-2</v>
      </c>
      <c r="D22" s="19"/>
    </row>
    <row r="23" spans="2:14" x14ac:dyDescent="0.25">
      <c r="B23" s="9">
        <v>2014</v>
      </c>
      <c r="C23" s="78">
        <v>0.31390000000000001</v>
      </c>
      <c r="D23" s="19"/>
    </row>
    <row r="24" spans="2:14" x14ac:dyDescent="0.25">
      <c r="B24" s="9">
        <v>2015</v>
      </c>
      <c r="C24" s="78">
        <v>-4.0599999999999997E-2</v>
      </c>
      <c r="D24" s="19"/>
    </row>
    <row r="25" spans="2:14" x14ac:dyDescent="0.25">
      <c r="B25" s="9">
        <v>2016</v>
      </c>
      <c r="C25" s="78">
        <v>3.0099999999999998E-2</v>
      </c>
      <c r="D25" s="19"/>
    </row>
    <row r="26" spans="2:14" x14ac:dyDescent="0.25">
      <c r="B26" s="9">
        <v>2017</v>
      </c>
      <c r="C26" s="78">
        <v>0.28649999999999998</v>
      </c>
      <c r="D26" s="19"/>
    </row>
    <row r="27" spans="2:14" x14ac:dyDescent="0.25">
      <c r="B27" s="9">
        <v>2018</v>
      </c>
      <c r="C27" s="78">
        <v>3.15E-2</v>
      </c>
      <c r="D27" s="19"/>
    </row>
    <row r="28" spans="2:14" x14ac:dyDescent="0.25">
      <c r="B28" s="9">
        <v>2019</v>
      </c>
      <c r="C28" s="78">
        <v>0.1202</v>
      </c>
      <c r="D28" s="19"/>
    </row>
    <row r="29" spans="2:14" x14ac:dyDescent="0.25">
      <c r="B29" s="9">
        <v>2020</v>
      </c>
      <c r="C29" s="78">
        <v>0.14899999999999999</v>
      </c>
      <c r="D29" s="19"/>
    </row>
    <row r="30" spans="2:14" x14ac:dyDescent="0.25">
      <c r="B30" s="9">
        <v>2021</v>
      </c>
      <c r="C30" s="78">
        <v>0.2412</v>
      </c>
      <c r="D30" s="19"/>
    </row>
    <row r="31" spans="2:14" x14ac:dyDescent="0.25">
      <c r="B31" s="9">
        <v>2022</v>
      </c>
      <c r="C31" s="78">
        <v>4.3200000000000002E-2</v>
      </c>
      <c r="D31" s="19"/>
    </row>
    <row r="32" spans="2:14" x14ac:dyDescent="0.25">
      <c r="B32" s="9">
        <v>2023</v>
      </c>
      <c r="C32" s="78">
        <v>0.19420000000000001</v>
      </c>
      <c r="D32" s="19"/>
    </row>
    <row r="33" spans="2:4" x14ac:dyDescent="0.25">
      <c r="B33" s="9">
        <v>2024</v>
      </c>
      <c r="C33" s="78">
        <v>8.7499999999999994E-2</v>
      </c>
      <c r="D33" s="19"/>
    </row>
    <row r="34" spans="2:4" x14ac:dyDescent="0.25">
      <c r="B34" s="9"/>
    </row>
  </sheetData>
  <mergeCells count="2">
    <mergeCell ref="B2:F3"/>
    <mergeCell ref="B4:F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D03D2-76F5-4366-99AB-10840D418F72}">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8"/>
  <sheetViews>
    <sheetView zoomScale="90" zoomScaleNormal="90" zoomScalePageLayoutView="120" workbookViewId="0">
      <pane xSplit="1" ySplit="1" topLeftCell="B43" activePane="bottomRight" state="frozen"/>
      <selection activeCell="R13" sqref="R13"/>
      <selection pane="topRight" activeCell="R13" sqref="R13"/>
      <selection pane="bottomLeft" activeCell="R13" sqref="R13"/>
      <selection pane="bottomRight" activeCell="B104" sqref="B104"/>
    </sheetView>
  </sheetViews>
  <sheetFormatPr defaultColWidth="8.85546875" defaultRowHeight="15" x14ac:dyDescent="0.25"/>
  <cols>
    <col min="1" max="1" width="27.7109375" style="3" bestFit="1" customWidth="1"/>
    <col min="2" max="11" width="13.42578125" style="3" bestFit="1" customWidth="1"/>
    <col min="12" max="16384" width="8.85546875" style="3"/>
  </cols>
  <sheetData>
    <row r="1" spans="1:12" s="1" customFormat="1" x14ac:dyDescent="0.25">
      <c r="A1" s="1" t="s">
        <v>0</v>
      </c>
      <c r="B1" s="1" t="s">
        <v>35</v>
      </c>
      <c r="E1" s="337" t="str">
        <f>IF(B2&lt;&gt;B3, "A NEW VERSION OF THE WORKSHEET IS AVAILABLE", "")</f>
        <v/>
      </c>
      <c r="F1" s="337"/>
      <c r="G1" s="337"/>
      <c r="H1" s="337"/>
      <c r="I1" s="337"/>
      <c r="J1" s="337"/>
      <c r="K1" s="337"/>
    </row>
    <row r="2" spans="1:12" x14ac:dyDescent="0.25">
      <c r="A2" s="1" t="s">
        <v>33</v>
      </c>
      <c r="B2" s="3">
        <v>2.1</v>
      </c>
      <c r="E2" s="338" t="s">
        <v>22</v>
      </c>
      <c r="F2" s="338"/>
      <c r="G2" s="338"/>
      <c r="H2" s="338"/>
      <c r="I2" s="338"/>
      <c r="J2" s="338"/>
      <c r="K2" s="338"/>
    </row>
    <row r="3" spans="1:12" x14ac:dyDescent="0.25">
      <c r="A3" s="1" t="s">
        <v>34</v>
      </c>
      <c r="B3" s="3">
        <v>2.1</v>
      </c>
    </row>
    <row r="4" spans="1:12" x14ac:dyDescent="0.25">
      <c r="A4" s="1"/>
    </row>
    <row r="5" spans="1:12" x14ac:dyDescent="0.25">
      <c r="A5" s="1" t="s">
        <v>36</v>
      </c>
    </row>
    <row r="6" spans="1:12" x14ac:dyDescent="0.25">
      <c r="A6" s="3" t="s">
        <v>28</v>
      </c>
      <c r="B6" s="3">
        <f>IF(B9&gt;0, B9/B8, 0)</f>
        <v>1353.2469130434783</v>
      </c>
    </row>
    <row r="7" spans="1:12" x14ac:dyDescent="0.25">
      <c r="A7" s="3" t="s">
        <v>17</v>
      </c>
      <c r="B7">
        <v>10</v>
      </c>
    </row>
    <row r="8" spans="1:12" x14ac:dyDescent="0.25">
      <c r="A8" s="3" t="s">
        <v>29</v>
      </c>
      <c r="B8">
        <v>1380</v>
      </c>
    </row>
    <row r="9" spans="1:12" x14ac:dyDescent="0.25">
      <c r="A9" s="3" t="s">
        <v>46</v>
      </c>
      <c r="B9">
        <v>1867480.74</v>
      </c>
    </row>
    <row r="13" spans="1:12" x14ac:dyDescent="0.25">
      <c r="L13" s="20"/>
    </row>
    <row r="15" spans="1:12" x14ac:dyDescent="0.25">
      <c r="A15" s="1" t="s">
        <v>23</v>
      </c>
    </row>
    <row r="16" spans="1:12" s="8" customFormat="1" x14ac:dyDescent="0.25">
      <c r="A16" s="7" t="s">
        <v>24</v>
      </c>
      <c r="B16" s="6">
        <v>42460</v>
      </c>
      <c r="C16" s="6">
        <v>42825</v>
      </c>
      <c r="D16" s="6">
        <v>43190</v>
      </c>
      <c r="E16" s="6">
        <v>43555</v>
      </c>
      <c r="F16" s="6">
        <v>43921</v>
      </c>
      <c r="G16" s="6">
        <v>44286</v>
      </c>
      <c r="H16" s="6">
        <v>44651</v>
      </c>
      <c r="I16" s="6">
        <v>45016</v>
      </c>
      <c r="J16" s="6">
        <v>45382</v>
      </c>
      <c r="K16" s="6">
        <v>45747</v>
      </c>
    </row>
    <row r="17" spans="1:11" s="5" customFormat="1" x14ac:dyDescent="0.25">
      <c r="A17" s="5" t="s">
        <v>1</v>
      </c>
      <c r="B17">
        <v>272583</v>
      </c>
      <c r="C17">
        <v>303954</v>
      </c>
      <c r="D17">
        <v>390823</v>
      </c>
      <c r="E17">
        <v>568337</v>
      </c>
      <c r="F17">
        <v>596679</v>
      </c>
      <c r="G17">
        <v>466307</v>
      </c>
      <c r="H17">
        <v>694673</v>
      </c>
      <c r="I17">
        <v>876396</v>
      </c>
      <c r="J17">
        <v>899041</v>
      </c>
      <c r="K17">
        <v>964693</v>
      </c>
    </row>
    <row r="18" spans="1:11" s="5" customFormat="1" x14ac:dyDescent="0.25">
      <c r="A18" s="3" t="s">
        <v>47</v>
      </c>
      <c r="B18">
        <v>186254</v>
      </c>
      <c r="C18">
        <v>217518</v>
      </c>
      <c r="D18">
        <v>276076</v>
      </c>
      <c r="E18">
        <v>399167</v>
      </c>
      <c r="F18">
        <v>410288</v>
      </c>
      <c r="G18">
        <v>301765</v>
      </c>
      <c r="H18">
        <v>494449</v>
      </c>
      <c r="I18">
        <v>618746</v>
      </c>
      <c r="J18">
        <v>590226</v>
      </c>
      <c r="K18">
        <v>644813</v>
      </c>
    </row>
    <row r="19" spans="1:11" s="5" customFormat="1" x14ac:dyDescent="0.25">
      <c r="A19" s="3" t="s">
        <v>48</v>
      </c>
      <c r="B19">
        <v>-2560</v>
      </c>
      <c r="C19">
        <v>5218</v>
      </c>
      <c r="D19">
        <v>8610</v>
      </c>
      <c r="E19">
        <v>4680</v>
      </c>
      <c r="F19">
        <v>5048</v>
      </c>
      <c r="G19">
        <v>9064</v>
      </c>
      <c r="H19">
        <v>21457</v>
      </c>
      <c r="I19">
        <v>30263</v>
      </c>
      <c r="J19">
        <v>4883</v>
      </c>
      <c r="K19">
        <v>15124</v>
      </c>
    </row>
    <row r="20" spans="1:11" s="5" customFormat="1" x14ac:dyDescent="0.25">
      <c r="A20" s="3" t="s">
        <v>49</v>
      </c>
      <c r="B20">
        <v>10741</v>
      </c>
      <c r="C20">
        <v>11251</v>
      </c>
      <c r="D20">
        <v>14569</v>
      </c>
      <c r="E20">
        <v>17029</v>
      </c>
      <c r="F20">
        <v>15098</v>
      </c>
      <c r="G20">
        <v>13214</v>
      </c>
      <c r="H20">
        <v>17902</v>
      </c>
      <c r="I20">
        <v>25062</v>
      </c>
      <c r="J20">
        <v>22137</v>
      </c>
    </row>
    <row r="21" spans="1:11" s="5" customFormat="1" x14ac:dyDescent="0.25">
      <c r="A21" s="3" t="s">
        <v>50</v>
      </c>
      <c r="B21">
        <v>8272</v>
      </c>
      <c r="C21">
        <v>9909</v>
      </c>
      <c r="D21">
        <v>9691</v>
      </c>
      <c r="E21">
        <v>12198</v>
      </c>
      <c r="F21">
        <v>11434</v>
      </c>
      <c r="G21">
        <v>7687</v>
      </c>
      <c r="H21">
        <v>12174</v>
      </c>
      <c r="I21">
        <v>19658</v>
      </c>
      <c r="J21">
        <v>18276</v>
      </c>
    </row>
    <row r="22" spans="1:11" s="5" customFormat="1" x14ac:dyDescent="0.25">
      <c r="A22" s="3" t="s">
        <v>51</v>
      </c>
      <c r="B22">
        <v>7407</v>
      </c>
      <c r="C22">
        <v>8388</v>
      </c>
      <c r="D22">
        <v>9523</v>
      </c>
      <c r="E22">
        <v>12488</v>
      </c>
      <c r="F22">
        <v>14075</v>
      </c>
      <c r="G22">
        <v>14817</v>
      </c>
      <c r="H22">
        <v>18758</v>
      </c>
      <c r="I22">
        <v>24872</v>
      </c>
      <c r="J22">
        <v>25679</v>
      </c>
      <c r="K22">
        <v>28559</v>
      </c>
    </row>
    <row r="23" spans="1:11" s="5" customFormat="1" x14ac:dyDescent="0.25">
      <c r="A23" s="3" t="s">
        <v>52</v>
      </c>
      <c r="B23">
        <v>18808</v>
      </c>
      <c r="C23">
        <v>18520</v>
      </c>
      <c r="D23">
        <v>29111</v>
      </c>
      <c r="E23">
        <v>50221</v>
      </c>
      <c r="F23">
        <v>62622</v>
      </c>
      <c r="G23">
        <v>56154</v>
      </c>
      <c r="H23">
        <v>63513</v>
      </c>
      <c r="I23">
        <v>67369</v>
      </c>
      <c r="J23">
        <v>77292</v>
      </c>
    </row>
    <row r="24" spans="1:11" s="5" customFormat="1" x14ac:dyDescent="0.25">
      <c r="A24" s="3" t="s">
        <v>53</v>
      </c>
      <c r="B24">
        <v>-3240</v>
      </c>
      <c r="C24">
        <v>-2721</v>
      </c>
      <c r="D24">
        <v>-3852</v>
      </c>
      <c r="E24">
        <v>-2336</v>
      </c>
      <c r="F24">
        <v>-1056</v>
      </c>
      <c r="G24">
        <v>944</v>
      </c>
      <c r="H24">
        <v>753</v>
      </c>
      <c r="I24">
        <v>8634</v>
      </c>
      <c r="J24">
        <v>7816</v>
      </c>
      <c r="K24">
        <v>141001</v>
      </c>
    </row>
    <row r="25" spans="1:11" s="5" customFormat="1" x14ac:dyDescent="0.25">
      <c r="A25" s="5" t="s">
        <v>4</v>
      </c>
      <c r="B25">
        <v>12212</v>
      </c>
      <c r="C25">
        <v>9222</v>
      </c>
      <c r="D25">
        <v>9869</v>
      </c>
      <c r="E25">
        <v>8406</v>
      </c>
      <c r="F25">
        <v>8570</v>
      </c>
      <c r="G25">
        <v>22432</v>
      </c>
      <c r="H25">
        <v>19600</v>
      </c>
      <c r="I25">
        <v>12020</v>
      </c>
      <c r="J25">
        <v>16179</v>
      </c>
      <c r="K25">
        <v>17978</v>
      </c>
    </row>
    <row r="26" spans="1:11" s="5" customFormat="1" x14ac:dyDescent="0.25">
      <c r="A26" s="5" t="s">
        <v>5</v>
      </c>
      <c r="B26">
        <v>11565</v>
      </c>
      <c r="C26">
        <v>11646</v>
      </c>
      <c r="D26">
        <v>16706</v>
      </c>
      <c r="E26">
        <v>20934</v>
      </c>
      <c r="F26">
        <v>22203</v>
      </c>
      <c r="G26">
        <v>26572</v>
      </c>
      <c r="H26">
        <v>29782</v>
      </c>
      <c r="I26">
        <v>40303</v>
      </c>
      <c r="J26">
        <v>50832</v>
      </c>
      <c r="K26">
        <v>53136</v>
      </c>
    </row>
    <row r="27" spans="1:11" s="5" customFormat="1" x14ac:dyDescent="0.25">
      <c r="A27" s="5" t="s">
        <v>6</v>
      </c>
      <c r="B27">
        <v>3691</v>
      </c>
      <c r="C27">
        <v>3849</v>
      </c>
      <c r="D27">
        <v>8052</v>
      </c>
      <c r="E27">
        <v>16495</v>
      </c>
      <c r="F27">
        <v>22027</v>
      </c>
      <c r="G27">
        <v>21189</v>
      </c>
      <c r="H27">
        <v>14584</v>
      </c>
      <c r="I27">
        <v>19571</v>
      </c>
      <c r="J27">
        <v>23118</v>
      </c>
      <c r="K27">
        <v>24269</v>
      </c>
    </row>
    <row r="28" spans="1:11" s="5" customFormat="1" x14ac:dyDescent="0.25">
      <c r="A28" s="5" t="s">
        <v>7</v>
      </c>
      <c r="B28">
        <v>38737</v>
      </c>
      <c r="C28">
        <v>40034</v>
      </c>
      <c r="D28">
        <v>49426</v>
      </c>
      <c r="E28">
        <v>55227</v>
      </c>
      <c r="F28">
        <v>53606</v>
      </c>
      <c r="G28">
        <v>55461</v>
      </c>
      <c r="H28">
        <v>83815</v>
      </c>
      <c r="I28">
        <v>94464</v>
      </c>
      <c r="J28">
        <v>104727</v>
      </c>
      <c r="K28">
        <v>106017</v>
      </c>
    </row>
    <row r="29" spans="1:11" s="5" customFormat="1" x14ac:dyDescent="0.25">
      <c r="A29" s="5" t="s">
        <v>8</v>
      </c>
      <c r="B29">
        <v>8876</v>
      </c>
      <c r="C29">
        <v>10201</v>
      </c>
      <c r="D29">
        <v>13346</v>
      </c>
      <c r="E29">
        <v>15390</v>
      </c>
      <c r="F29">
        <v>13726</v>
      </c>
      <c r="G29">
        <v>1722</v>
      </c>
      <c r="H29">
        <v>15970</v>
      </c>
      <c r="I29">
        <v>20376</v>
      </c>
      <c r="J29">
        <v>25707</v>
      </c>
      <c r="K29">
        <v>25230</v>
      </c>
    </row>
    <row r="30" spans="1:11" s="5" customFormat="1" x14ac:dyDescent="0.25">
      <c r="A30" s="5" t="s">
        <v>9</v>
      </c>
      <c r="B30">
        <v>29745</v>
      </c>
      <c r="C30">
        <v>29901</v>
      </c>
      <c r="D30">
        <v>36075</v>
      </c>
      <c r="E30">
        <v>39588</v>
      </c>
      <c r="F30">
        <v>39354</v>
      </c>
      <c r="G30">
        <v>49128</v>
      </c>
      <c r="H30">
        <v>60705</v>
      </c>
      <c r="I30">
        <v>66702</v>
      </c>
      <c r="J30">
        <v>69621</v>
      </c>
      <c r="K30">
        <v>69648</v>
      </c>
    </row>
    <row r="31" spans="1:11" s="5" customFormat="1" x14ac:dyDescent="0.25">
      <c r="A31" s="5" t="s">
        <v>37</v>
      </c>
      <c r="B31">
        <v>3095.4</v>
      </c>
      <c r="C31">
        <v>3254.9</v>
      </c>
      <c r="D31">
        <v>3553.2</v>
      </c>
      <c r="E31">
        <v>3851.9</v>
      </c>
      <c r="F31">
        <v>4120.3500000000004</v>
      </c>
      <c r="G31">
        <v>4511.5</v>
      </c>
      <c r="H31">
        <v>5412</v>
      </c>
      <c r="I31">
        <v>6089.4</v>
      </c>
      <c r="J31">
        <v>6766</v>
      </c>
      <c r="K31">
        <v>7442.6</v>
      </c>
    </row>
    <row r="32" spans="1:11" s="5" customFormat="1" x14ac:dyDescent="0.25"/>
    <row r="33" spans="1:11" x14ac:dyDescent="0.25">
      <c r="A33" s="5"/>
    </row>
    <row r="34" spans="1:11" x14ac:dyDescent="0.25">
      <c r="A34" s="5"/>
    </row>
    <row r="35" spans="1:11" x14ac:dyDescent="0.25">
      <c r="A35" s="5"/>
    </row>
    <row r="36" spans="1:11" x14ac:dyDescent="0.25">
      <c r="A36" s="5"/>
    </row>
    <row r="37" spans="1:11" x14ac:dyDescent="0.25">
      <c r="A37" s="5"/>
    </row>
    <row r="38" spans="1:11" x14ac:dyDescent="0.25">
      <c r="A38" s="5"/>
    </row>
    <row r="39" spans="1:11" x14ac:dyDescent="0.25">
      <c r="A39" s="5"/>
    </row>
    <row r="40" spans="1:11" x14ac:dyDescent="0.25">
      <c r="A40" s="1" t="s">
        <v>25</v>
      </c>
    </row>
    <row r="41" spans="1:11" s="8" customFormat="1" x14ac:dyDescent="0.25">
      <c r="A41" s="7" t="s">
        <v>24</v>
      </c>
      <c r="B41" s="6">
        <v>45016</v>
      </c>
      <c r="C41" s="6">
        <v>45107</v>
      </c>
      <c r="D41" s="6">
        <v>45199</v>
      </c>
      <c r="E41" s="6">
        <v>45291</v>
      </c>
      <c r="F41" s="6">
        <v>45382</v>
      </c>
      <c r="G41" s="6">
        <v>45473</v>
      </c>
      <c r="H41" s="6">
        <v>45565</v>
      </c>
      <c r="I41" s="6">
        <v>45657</v>
      </c>
      <c r="J41" s="6">
        <v>45747</v>
      </c>
      <c r="K41" s="6">
        <v>45838</v>
      </c>
    </row>
    <row r="42" spans="1:11" s="5" customFormat="1" x14ac:dyDescent="0.25">
      <c r="A42" s="5" t="s">
        <v>1</v>
      </c>
      <c r="B42">
        <v>212834</v>
      </c>
      <c r="C42">
        <v>207559</v>
      </c>
      <c r="D42">
        <v>231886</v>
      </c>
      <c r="E42">
        <v>225086</v>
      </c>
      <c r="F42">
        <v>236533</v>
      </c>
      <c r="G42">
        <v>231784</v>
      </c>
      <c r="H42">
        <v>231535</v>
      </c>
      <c r="I42">
        <v>239986</v>
      </c>
      <c r="J42">
        <v>261388</v>
      </c>
      <c r="K42">
        <v>243632</v>
      </c>
    </row>
    <row r="43" spans="1:11" s="5" customFormat="1" x14ac:dyDescent="0.25">
      <c r="A43" s="5" t="s">
        <v>2</v>
      </c>
      <c r="B43">
        <v>174478</v>
      </c>
      <c r="C43">
        <v>169466</v>
      </c>
      <c r="D43">
        <v>190918</v>
      </c>
      <c r="E43">
        <v>184430</v>
      </c>
      <c r="F43">
        <v>194017</v>
      </c>
      <c r="G43">
        <v>193019</v>
      </c>
      <c r="H43">
        <v>192477</v>
      </c>
      <c r="I43">
        <v>196197</v>
      </c>
      <c r="J43">
        <v>217556</v>
      </c>
      <c r="K43">
        <v>200727</v>
      </c>
    </row>
    <row r="44" spans="1:11" s="5" customFormat="1" x14ac:dyDescent="0.25">
      <c r="A44" s="5" t="s">
        <v>4</v>
      </c>
      <c r="B44">
        <v>2996</v>
      </c>
      <c r="C44">
        <v>3813</v>
      </c>
      <c r="D44">
        <v>3841</v>
      </c>
      <c r="E44">
        <v>3869</v>
      </c>
      <c r="F44">
        <v>4534</v>
      </c>
      <c r="G44">
        <v>3983</v>
      </c>
      <c r="H44">
        <v>4876</v>
      </c>
      <c r="I44">
        <v>4214</v>
      </c>
      <c r="J44">
        <v>4905</v>
      </c>
      <c r="K44">
        <v>15119</v>
      </c>
    </row>
    <row r="45" spans="1:11" s="5" customFormat="1" x14ac:dyDescent="0.25">
      <c r="A45" s="5" t="s">
        <v>5</v>
      </c>
      <c r="B45">
        <v>11452</v>
      </c>
      <c r="C45">
        <v>11775</v>
      </c>
      <c r="D45">
        <v>12585</v>
      </c>
      <c r="E45">
        <v>12903</v>
      </c>
      <c r="F45">
        <v>13569</v>
      </c>
      <c r="G45">
        <v>13596</v>
      </c>
      <c r="H45">
        <v>12880</v>
      </c>
      <c r="I45">
        <v>13181</v>
      </c>
      <c r="J45">
        <v>13479</v>
      </c>
      <c r="K45">
        <v>13842</v>
      </c>
    </row>
    <row r="46" spans="1:11" s="5" customFormat="1" x14ac:dyDescent="0.25">
      <c r="A46" s="5" t="s">
        <v>6</v>
      </c>
      <c r="B46">
        <v>5819</v>
      </c>
      <c r="C46">
        <v>5837</v>
      </c>
      <c r="D46">
        <v>5731</v>
      </c>
      <c r="E46">
        <v>5789</v>
      </c>
      <c r="F46">
        <v>5761</v>
      </c>
      <c r="G46">
        <v>5918</v>
      </c>
      <c r="H46">
        <v>6017</v>
      </c>
      <c r="I46">
        <v>6179</v>
      </c>
      <c r="J46">
        <v>6155</v>
      </c>
      <c r="K46">
        <v>7036</v>
      </c>
    </row>
    <row r="47" spans="1:11" s="5" customFormat="1" x14ac:dyDescent="0.25">
      <c r="A47" s="5" t="s">
        <v>7</v>
      </c>
      <c r="B47">
        <v>24081</v>
      </c>
      <c r="C47">
        <v>24294</v>
      </c>
      <c r="D47">
        <v>26493</v>
      </c>
      <c r="E47">
        <v>25833</v>
      </c>
      <c r="F47">
        <v>27720</v>
      </c>
      <c r="G47">
        <v>23234</v>
      </c>
      <c r="H47">
        <v>25037</v>
      </c>
      <c r="I47">
        <v>28643</v>
      </c>
      <c r="J47">
        <v>29103</v>
      </c>
      <c r="K47">
        <v>37146</v>
      </c>
    </row>
    <row r="48" spans="1:11" s="5" customFormat="1" x14ac:dyDescent="0.25">
      <c r="A48" s="5" t="s">
        <v>8</v>
      </c>
      <c r="B48">
        <v>2754</v>
      </c>
      <c r="C48">
        <v>6112</v>
      </c>
      <c r="D48">
        <v>6673</v>
      </c>
      <c r="E48">
        <v>6345</v>
      </c>
      <c r="F48">
        <v>6577</v>
      </c>
      <c r="G48">
        <v>5786</v>
      </c>
      <c r="H48">
        <v>5936</v>
      </c>
      <c r="I48">
        <v>6839</v>
      </c>
      <c r="J48">
        <v>6669</v>
      </c>
      <c r="K48">
        <v>6465</v>
      </c>
    </row>
    <row r="49" spans="1:11" s="5" customFormat="1" x14ac:dyDescent="0.25">
      <c r="A49" s="5" t="s">
        <v>9</v>
      </c>
      <c r="B49">
        <v>19299</v>
      </c>
      <c r="C49">
        <v>16011</v>
      </c>
      <c r="D49">
        <v>17394</v>
      </c>
      <c r="E49">
        <v>17265</v>
      </c>
      <c r="F49">
        <v>18951</v>
      </c>
      <c r="G49">
        <v>15138</v>
      </c>
      <c r="H49">
        <v>16563</v>
      </c>
      <c r="I49">
        <v>18540</v>
      </c>
      <c r="J49">
        <v>19407</v>
      </c>
      <c r="K49">
        <v>26994</v>
      </c>
    </row>
    <row r="50" spans="1:11" x14ac:dyDescent="0.25">
      <c r="A50" s="5" t="s">
        <v>3</v>
      </c>
      <c r="B50">
        <v>38356</v>
      </c>
      <c r="C50">
        <v>38093</v>
      </c>
      <c r="D50">
        <v>40968</v>
      </c>
      <c r="E50">
        <v>40656</v>
      </c>
      <c r="F50">
        <v>42516</v>
      </c>
      <c r="G50">
        <v>38765</v>
      </c>
      <c r="H50">
        <v>39058</v>
      </c>
      <c r="I50">
        <v>43789</v>
      </c>
      <c r="J50">
        <v>43832</v>
      </c>
      <c r="K50">
        <v>42905</v>
      </c>
    </row>
    <row r="51" spans="1:11" x14ac:dyDescent="0.25">
      <c r="A51" s="5"/>
    </row>
    <row r="52" spans="1:11" x14ac:dyDescent="0.25">
      <c r="A52" s="5"/>
    </row>
    <row r="53" spans="1:11" x14ac:dyDescent="0.25">
      <c r="A53" s="5"/>
    </row>
    <row r="54" spans="1:11" x14ac:dyDescent="0.25">
      <c r="A54" s="5"/>
    </row>
    <row r="55" spans="1:11" x14ac:dyDescent="0.25">
      <c r="A55" s="1" t="s">
        <v>26</v>
      </c>
    </row>
    <row r="56" spans="1:11" s="8" customFormat="1" x14ac:dyDescent="0.25">
      <c r="A56" s="7" t="s">
        <v>24</v>
      </c>
      <c r="B56" s="6">
        <v>42460</v>
      </c>
      <c r="C56" s="6">
        <v>42825</v>
      </c>
      <c r="D56" s="6">
        <v>43190</v>
      </c>
      <c r="E56" s="6">
        <v>43555</v>
      </c>
      <c r="F56" s="6">
        <v>43921</v>
      </c>
      <c r="G56" s="6">
        <v>44286</v>
      </c>
      <c r="H56" s="6">
        <v>44651</v>
      </c>
      <c r="I56" s="6">
        <v>45016</v>
      </c>
      <c r="J56" s="6">
        <v>45382</v>
      </c>
      <c r="K56" s="6">
        <v>45747</v>
      </c>
    </row>
    <row r="57" spans="1:11" x14ac:dyDescent="0.25">
      <c r="A57" s="5" t="s">
        <v>11</v>
      </c>
      <c r="B57">
        <v>2948</v>
      </c>
      <c r="C57">
        <v>2959</v>
      </c>
      <c r="D57">
        <v>5922</v>
      </c>
      <c r="E57">
        <v>5926</v>
      </c>
      <c r="F57">
        <v>6339</v>
      </c>
      <c r="G57">
        <v>6445</v>
      </c>
      <c r="H57">
        <v>6765</v>
      </c>
      <c r="I57">
        <v>6766</v>
      </c>
      <c r="J57">
        <v>6766</v>
      </c>
      <c r="K57">
        <v>13532</v>
      </c>
    </row>
    <row r="58" spans="1:11" x14ac:dyDescent="0.25">
      <c r="A58" s="5" t="s">
        <v>12</v>
      </c>
      <c r="B58">
        <v>228608</v>
      </c>
      <c r="C58">
        <v>260750</v>
      </c>
      <c r="D58">
        <v>287584</v>
      </c>
      <c r="E58">
        <v>381186</v>
      </c>
      <c r="F58">
        <v>442827</v>
      </c>
      <c r="G58">
        <v>693727</v>
      </c>
      <c r="H58">
        <v>772720</v>
      </c>
      <c r="I58">
        <v>709106</v>
      </c>
      <c r="J58">
        <v>786715</v>
      </c>
      <c r="K58">
        <v>829668</v>
      </c>
    </row>
    <row r="59" spans="1:11" x14ac:dyDescent="0.25">
      <c r="A59" s="5" t="s">
        <v>38</v>
      </c>
      <c r="B59">
        <v>194714</v>
      </c>
      <c r="C59">
        <v>217475</v>
      </c>
      <c r="D59">
        <v>239843</v>
      </c>
      <c r="E59">
        <v>307714</v>
      </c>
      <c r="F59">
        <v>355133</v>
      </c>
      <c r="G59">
        <v>278962</v>
      </c>
      <c r="H59">
        <v>319158</v>
      </c>
      <c r="I59">
        <v>451664</v>
      </c>
      <c r="J59">
        <v>458991</v>
      </c>
      <c r="K59">
        <v>369575</v>
      </c>
    </row>
    <row r="60" spans="1:11" x14ac:dyDescent="0.25">
      <c r="A60" s="5" t="s">
        <v>39</v>
      </c>
      <c r="B60">
        <v>172727</v>
      </c>
      <c r="C60">
        <v>225618</v>
      </c>
      <c r="D60">
        <v>277924</v>
      </c>
      <c r="E60">
        <v>302804</v>
      </c>
      <c r="F60">
        <v>358716</v>
      </c>
      <c r="G60">
        <v>340931</v>
      </c>
      <c r="H60">
        <v>399979</v>
      </c>
      <c r="I60">
        <v>438346</v>
      </c>
      <c r="J60">
        <v>502576</v>
      </c>
      <c r="K60">
        <v>737346</v>
      </c>
    </row>
    <row r="61" spans="1:11" s="1" customFormat="1" x14ac:dyDescent="0.25">
      <c r="A61" s="1" t="s">
        <v>13</v>
      </c>
      <c r="B61">
        <v>598997</v>
      </c>
      <c r="C61">
        <v>706802</v>
      </c>
      <c r="D61">
        <v>811273</v>
      </c>
      <c r="E61">
        <v>997630</v>
      </c>
      <c r="F61">
        <v>1163015</v>
      </c>
      <c r="G61">
        <v>1320065</v>
      </c>
      <c r="H61">
        <v>1498622</v>
      </c>
      <c r="I61">
        <v>1605882</v>
      </c>
      <c r="J61">
        <v>1755048</v>
      </c>
      <c r="K61">
        <v>1950121</v>
      </c>
    </row>
    <row r="62" spans="1:11" x14ac:dyDescent="0.25">
      <c r="A62" s="5" t="s">
        <v>14</v>
      </c>
      <c r="B62">
        <v>184910</v>
      </c>
      <c r="C62">
        <v>198526</v>
      </c>
      <c r="D62">
        <v>403885</v>
      </c>
      <c r="E62">
        <v>398374</v>
      </c>
      <c r="F62">
        <v>532658</v>
      </c>
      <c r="G62">
        <v>541258</v>
      </c>
      <c r="H62">
        <v>627798</v>
      </c>
      <c r="I62">
        <v>724805</v>
      </c>
      <c r="J62">
        <v>779985</v>
      </c>
      <c r="K62">
        <v>1092041</v>
      </c>
    </row>
    <row r="63" spans="1:11" x14ac:dyDescent="0.25">
      <c r="A63" s="5" t="s">
        <v>15</v>
      </c>
      <c r="B63">
        <v>228697</v>
      </c>
      <c r="C63">
        <v>324837</v>
      </c>
      <c r="D63">
        <v>187022</v>
      </c>
      <c r="E63">
        <v>179463</v>
      </c>
      <c r="F63">
        <v>109106</v>
      </c>
      <c r="G63">
        <v>125953</v>
      </c>
      <c r="H63">
        <v>172506</v>
      </c>
      <c r="I63">
        <v>293752</v>
      </c>
      <c r="J63">
        <v>338855</v>
      </c>
      <c r="K63">
        <v>169710</v>
      </c>
    </row>
    <row r="64" spans="1:11" x14ac:dyDescent="0.25">
      <c r="A64" s="5" t="s">
        <v>16</v>
      </c>
      <c r="B64">
        <v>84015</v>
      </c>
      <c r="C64">
        <v>82899</v>
      </c>
      <c r="D64">
        <v>82862</v>
      </c>
      <c r="E64">
        <v>235635</v>
      </c>
      <c r="F64">
        <v>276767</v>
      </c>
      <c r="G64">
        <v>364828</v>
      </c>
      <c r="H64">
        <v>394264</v>
      </c>
      <c r="I64">
        <v>235560</v>
      </c>
      <c r="J64">
        <v>225672</v>
      </c>
      <c r="K64">
        <v>242381</v>
      </c>
    </row>
    <row r="65" spans="1:11" x14ac:dyDescent="0.25">
      <c r="A65" s="5" t="s">
        <v>40</v>
      </c>
      <c r="B65">
        <v>101375</v>
      </c>
      <c r="C65">
        <v>100540</v>
      </c>
      <c r="D65">
        <v>137504</v>
      </c>
      <c r="E65">
        <v>184158</v>
      </c>
      <c r="F65">
        <v>244484</v>
      </c>
      <c r="G65">
        <v>288026</v>
      </c>
      <c r="H65">
        <v>304054</v>
      </c>
      <c r="I65">
        <v>351765</v>
      </c>
      <c r="J65">
        <v>410536</v>
      </c>
      <c r="K65">
        <v>445989</v>
      </c>
    </row>
    <row r="66" spans="1:11" s="1" customFormat="1" x14ac:dyDescent="0.25">
      <c r="A66" s="1" t="s">
        <v>13</v>
      </c>
      <c r="B66">
        <v>598997</v>
      </c>
      <c r="C66">
        <v>706802</v>
      </c>
      <c r="D66">
        <v>811273</v>
      </c>
      <c r="E66">
        <v>997630</v>
      </c>
      <c r="F66">
        <v>1163015</v>
      </c>
      <c r="G66">
        <v>1320065</v>
      </c>
      <c r="H66">
        <v>1498622</v>
      </c>
      <c r="I66">
        <v>1605882</v>
      </c>
      <c r="J66">
        <v>1755048</v>
      </c>
      <c r="K66">
        <v>1950121</v>
      </c>
    </row>
    <row r="67" spans="1:11" s="5" customFormat="1" x14ac:dyDescent="0.25">
      <c r="A67" s="5" t="s">
        <v>45</v>
      </c>
      <c r="B67">
        <v>4465</v>
      </c>
      <c r="C67">
        <v>8177</v>
      </c>
      <c r="D67">
        <v>17555</v>
      </c>
      <c r="E67">
        <v>30089</v>
      </c>
      <c r="F67">
        <v>19656</v>
      </c>
      <c r="G67">
        <v>19014</v>
      </c>
      <c r="H67">
        <v>23640</v>
      </c>
      <c r="I67">
        <v>28448</v>
      </c>
      <c r="J67">
        <v>31628</v>
      </c>
      <c r="K67">
        <v>42121</v>
      </c>
    </row>
    <row r="68" spans="1:11" x14ac:dyDescent="0.25">
      <c r="A68" s="5" t="s">
        <v>30</v>
      </c>
      <c r="B68">
        <v>46486</v>
      </c>
      <c r="C68">
        <v>48951</v>
      </c>
      <c r="D68">
        <v>60837</v>
      </c>
      <c r="E68">
        <v>67561</v>
      </c>
      <c r="F68">
        <v>73903</v>
      </c>
      <c r="G68">
        <v>81672</v>
      </c>
      <c r="H68">
        <v>107778</v>
      </c>
      <c r="I68">
        <v>140008</v>
      </c>
      <c r="J68">
        <v>152770</v>
      </c>
      <c r="K68">
        <v>146062</v>
      </c>
    </row>
    <row r="69" spans="1:11" x14ac:dyDescent="0.25">
      <c r="A69" s="3" t="s">
        <v>54</v>
      </c>
      <c r="B69">
        <v>11028</v>
      </c>
      <c r="C69">
        <v>3023</v>
      </c>
      <c r="D69">
        <v>4255</v>
      </c>
      <c r="E69">
        <v>11081</v>
      </c>
      <c r="F69">
        <v>30920</v>
      </c>
      <c r="G69">
        <v>17397</v>
      </c>
      <c r="H69">
        <v>36178</v>
      </c>
      <c r="I69">
        <v>68664</v>
      </c>
      <c r="J69">
        <v>97225</v>
      </c>
      <c r="K69">
        <v>106502</v>
      </c>
    </row>
    <row r="70" spans="1:11" x14ac:dyDescent="0.25">
      <c r="A70" s="3" t="s">
        <v>41</v>
      </c>
      <c r="B70">
        <v>2948021694</v>
      </c>
      <c r="C70">
        <v>2958924277</v>
      </c>
      <c r="D70">
        <v>5921826196</v>
      </c>
      <c r="E70">
        <v>5925868997</v>
      </c>
      <c r="F70">
        <v>6338693823</v>
      </c>
      <c r="G70">
        <v>6762068814</v>
      </c>
      <c r="H70">
        <v>6765994014</v>
      </c>
      <c r="I70">
        <v>6766094014</v>
      </c>
      <c r="J70">
        <v>6766094014</v>
      </c>
    </row>
    <row r="71" spans="1:11" x14ac:dyDescent="0.25">
      <c r="A71" s="3" t="s">
        <v>42</v>
      </c>
      <c r="D71">
        <v>2959863235</v>
      </c>
      <c r="E71">
        <v>2959863235</v>
      </c>
    </row>
    <row r="72" spans="1:11" x14ac:dyDescent="0.25">
      <c r="A72" s="3" t="s">
        <v>55</v>
      </c>
      <c r="B72">
        <v>10</v>
      </c>
      <c r="C72">
        <v>10</v>
      </c>
      <c r="D72">
        <v>10</v>
      </c>
      <c r="E72">
        <v>10</v>
      </c>
      <c r="F72">
        <v>10</v>
      </c>
      <c r="G72">
        <v>10</v>
      </c>
      <c r="H72">
        <v>10</v>
      </c>
      <c r="I72">
        <v>10</v>
      </c>
      <c r="J72">
        <v>10</v>
      </c>
      <c r="K72">
        <v>10</v>
      </c>
    </row>
    <row r="74" spans="1:11" x14ac:dyDescent="0.25">
      <c r="A74" s="5"/>
    </row>
    <row r="75" spans="1:11" x14ac:dyDescent="0.25">
      <c r="A75" s="5"/>
    </row>
    <row r="76" spans="1:11" x14ac:dyDescent="0.25">
      <c r="A76" s="5"/>
    </row>
    <row r="77" spans="1:11" x14ac:dyDescent="0.25">
      <c r="A77" s="5"/>
    </row>
    <row r="78" spans="1:11" x14ac:dyDescent="0.25">
      <c r="A78" s="5"/>
    </row>
    <row r="79" spans="1:11" x14ac:dyDescent="0.25">
      <c r="A79" s="5"/>
    </row>
    <row r="80" spans="1:11" x14ac:dyDescent="0.25">
      <c r="A80" s="1" t="s">
        <v>27</v>
      </c>
    </row>
    <row r="81" spans="1:11" s="8" customFormat="1" x14ac:dyDescent="0.25">
      <c r="A81" s="7" t="s">
        <v>24</v>
      </c>
      <c r="B81" s="6">
        <v>42460</v>
      </c>
      <c r="C81" s="6">
        <v>42825</v>
      </c>
      <c r="D81" s="6">
        <v>43190</v>
      </c>
      <c r="E81" s="6">
        <v>43555</v>
      </c>
      <c r="F81" s="6">
        <v>43921</v>
      </c>
      <c r="G81" s="6">
        <v>44286</v>
      </c>
      <c r="H81" s="6">
        <v>44651</v>
      </c>
      <c r="I81" s="6">
        <v>45016</v>
      </c>
      <c r="J81" s="6">
        <v>45382</v>
      </c>
      <c r="K81" s="6">
        <v>45747</v>
      </c>
    </row>
    <row r="82" spans="1:11" s="1" customFormat="1" x14ac:dyDescent="0.25">
      <c r="A82" s="5" t="s">
        <v>18</v>
      </c>
      <c r="B82">
        <v>38134</v>
      </c>
      <c r="C82">
        <v>49550</v>
      </c>
      <c r="D82">
        <v>71459</v>
      </c>
      <c r="E82">
        <v>42346</v>
      </c>
      <c r="F82">
        <v>94877</v>
      </c>
      <c r="G82">
        <v>26958</v>
      </c>
      <c r="H82">
        <v>110654</v>
      </c>
      <c r="I82">
        <v>115032</v>
      </c>
      <c r="J82">
        <v>158788</v>
      </c>
      <c r="K82">
        <v>178703</v>
      </c>
    </row>
    <row r="83" spans="1:11" s="5" customFormat="1" x14ac:dyDescent="0.25">
      <c r="A83" s="5" t="s">
        <v>19</v>
      </c>
      <c r="B83">
        <v>-36186</v>
      </c>
      <c r="C83">
        <v>-66201</v>
      </c>
      <c r="D83">
        <v>-68192</v>
      </c>
      <c r="E83">
        <v>-94507</v>
      </c>
      <c r="F83">
        <v>-72497</v>
      </c>
      <c r="G83">
        <v>-142385</v>
      </c>
      <c r="H83">
        <v>-109162</v>
      </c>
      <c r="I83">
        <v>-93001</v>
      </c>
      <c r="J83">
        <v>-113581</v>
      </c>
      <c r="K83">
        <v>-137535</v>
      </c>
    </row>
    <row r="84" spans="1:11" s="5" customFormat="1" x14ac:dyDescent="0.25">
      <c r="A84" s="5" t="s">
        <v>20</v>
      </c>
      <c r="B84">
        <v>-3210</v>
      </c>
      <c r="C84">
        <v>8617</v>
      </c>
      <c r="D84">
        <v>-2001</v>
      </c>
      <c r="E84">
        <v>55906</v>
      </c>
      <c r="F84">
        <v>-2541</v>
      </c>
      <c r="G84">
        <v>101904</v>
      </c>
      <c r="H84">
        <v>17289</v>
      </c>
      <c r="I84">
        <v>10455</v>
      </c>
      <c r="J84">
        <v>-16646</v>
      </c>
      <c r="K84">
        <v>-31891</v>
      </c>
    </row>
    <row r="85" spans="1:11" s="1" customFormat="1" x14ac:dyDescent="0.25">
      <c r="A85" s="5" t="s">
        <v>21</v>
      </c>
      <c r="B85">
        <v>-1262</v>
      </c>
      <c r="C85">
        <v>-8034</v>
      </c>
      <c r="D85">
        <v>1266</v>
      </c>
      <c r="E85">
        <v>3745</v>
      </c>
      <c r="F85">
        <v>19839</v>
      </c>
      <c r="G85">
        <v>-13523</v>
      </c>
      <c r="H85">
        <v>18781</v>
      </c>
      <c r="I85">
        <v>32486</v>
      </c>
      <c r="J85">
        <v>28561</v>
      </c>
      <c r="K85">
        <v>9277</v>
      </c>
    </row>
    <row r="86" spans="1:11" x14ac:dyDescent="0.25">
      <c r="A86" s="5"/>
    </row>
    <row r="87" spans="1:11" x14ac:dyDescent="0.25">
      <c r="A87" s="5"/>
    </row>
    <row r="88" spans="1:11" x14ac:dyDescent="0.25">
      <c r="A88" s="5"/>
    </row>
    <row r="89" spans="1:11" x14ac:dyDescent="0.25">
      <c r="A89" s="5"/>
    </row>
    <row r="90" spans="1:11" s="1" customFormat="1" x14ac:dyDescent="0.25">
      <c r="A90" s="1" t="s">
        <v>44</v>
      </c>
      <c r="B90">
        <v>237.46</v>
      </c>
      <c r="C90">
        <v>300.08999999999997</v>
      </c>
      <c r="D90">
        <v>401.08</v>
      </c>
      <c r="E90">
        <v>619.42999999999995</v>
      </c>
      <c r="F90">
        <v>506.06</v>
      </c>
      <c r="G90">
        <v>918.78</v>
      </c>
      <c r="H90">
        <v>1208.51</v>
      </c>
      <c r="I90">
        <v>1069.21</v>
      </c>
      <c r="J90">
        <v>1485.85</v>
      </c>
      <c r="K90">
        <v>1275.0999999999999</v>
      </c>
    </row>
    <row r="92" spans="1:11" s="1" customFormat="1" x14ac:dyDescent="0.25">
      <c r="A92" s="1" t="s">
        <v>43</v>
      </c>
    </row>
    <row r="93" spans="1:11" x14ac:dyDescent="0.25">
      <c r="A93" s="3" t="s">
        <v>56</v>
      </c>
      <c r="B93" s="10">
        <v>1382.58</v>
      </c>
      <c r="C93" s="10">
        <v>1387.22</v>
      </c>
      <c r="D93" s="10">
        <v>1351.39</v>
      </c>
      <c r="E93" s="10">
        <v>1352.26</v>
      </c>
      <c r="F93" s="10">
        <v>1352.37</v>
      </c>
      <c r="G93" s="10">
        <v>1267.8900000000001</v>
      </c>
      <c r="H93" s="10">
        <v>1352.98</v>
      </c>
      <c r="I93" s="10">
        <v>1353.12</v>
      </c>
      <c r="J93" s="10">
        <v>1353.14</v>
      </c>
      <c r="K93" s="10">
        <v>1353.24</v>
      </c>
    </row>
    <row r="99" spans="1:11" x14ac:dyDescent="0.25">
      <c r="A99" s="3" t="s">
        <v>674</v>
      </c>
      <c r="B99" s="3">
        <f>B90/'Historical Financial Statement'!D44</f>
        <v>10.879753671792152</v>
      </c>
      <c r="C99" s="3">
        <f>C90/'Historical Financial Statement'!E44</f>
        <v>22.425839023864675</v>
      </c>
      <c r="D99" s="3">
        <f>D90/'Historical Financial Statement'!F44</f>
        <v>29.275980404018583</v>
      </c>
      <c r="E99" s="3">
        <f>E90/'Historical Financial Statement'!G44</f>
        <v>24.237692404294105</v>
      </c>
      <c r="F99" s="3">
        <f>F90/'Historical Financial Statement'!H44</f>
        <v>19.393588999404912</v>
      </c>
      <c r="G99" s="3">
        <f>G90/'Historical Financial Statement'!I44</f>
        <v>41.609943356193746</v>
      </c>
      <c r="H99" s="3">
        <f>H90/'Historical Financial Statement'!J44</f>
        <v>67.877033492465429</v>
      </c>
      <c r="I99" s="3">
        <f>I90/'Historical Financial Statement'!K44</f>
        <v>54.772826349663049</v>
      </c>
      <c r="J99" s="3">
        <f>J90/'Historical Financial Statement'!L44</f>
        <v>25.529662861568937</v>
      </c>
      <c r="K99" s="3">
        <f>K90/'Historical Financial Statement'!M44</f>
        <v>28.231615248691099</v>
      </c>
    </row>
    <row r="100" spans="1:11" x14ac:dyDescent="0.25">
      <c r="A100" s="3" t="s">
        <v>666</v>
      </c>
      <c r="B100" s="3">
        <f>B93*B90</f>
        <v>328307.44679999998</v>
      </c>
      <c r="C100" s="3">
        <f t="shared" ref="C100:K100" si="0">C93*C90</f>
        <v>416290.84979999997</v>
      </c>
      <c r="D100" s="3">
        <f t="shared" si="0"/>
        <v>542015.50120000006</v>
      </c>
      <c r="E100" s="3">
        <f t="shared" si="0"/>
        <v>837630.41179999989</v>
      </c>
      <c r="F100" s="3">
        <f t="shared" si="0"/>
        <v>684380.36219999997</v>
      </c>
      <c r="G100" s="3">
        <f t="shared" si="0"/>
        <v>1164911.9742000001</v>
      </c>
      <c r="H100" s="3">
        <f t="shared" si="0"/>
        <v>1635089.8598</v>
      </c>
      <c r="I100" s="3">
        <f t="shared" si="0"/>
        <v>1446769.4351999999</v>
      </c>
      <c r="J100" s="3">
        <f t="shared" si="0"/>
        <v>2010563.0690000001</v>
      </c>
      <c r="K100" s="3">
        <f t="shared" si="0"/>
        <v>1725516.3239999998</v>
      </c>
    </row>
    <row r="101" spans="1:11" x14ac:dyDescent="0.25">
      <c r="A101" s="3" t="s">
        <v>667</v>
      </c>
      <c r="B101" s="3">
        <f>B59+B60</f>
        <v>367441</v>
      </c>
      <c r="C101" s="3">
        <f t="shared" ref="C101:K101" si="1">C59+C60</f>
        <v>443093</v>
      </c>
      <c r="D101" s="3">
        <f t="shared" si="1"/>
        <v>517767</v>
      </c>
      <c r="E101" s="3">
        <f t="shared" si="1"/>
        <v>610518</v>
      </c>
      <c r="F101" s="3">
        <f t="shared" si="1"/>
        <v>713849</v>
      </c>
      <c r="G101" s="3">
        <f t="shared" si="1"/>
        <v>619893</v>
      </c>
      <c r="H101" s="3">
        <f t="shared" si="1"/>
        <v>719137</v>
      </c>
      <c r="I101" s="3">
        <f t="shared" si="1"/>
        <v>890010</v>
      </c>
      <c r="J101" s="3">
        <f t="shared" si="1"/>
        <v>961567</v>
      </c>
      <c r="K101" s="3">
        <f t="shared" si="1"/>
        <v>1106921</v>
      </c>
    </row>
    <row r="102" spans="1:11" x14ac:dyDescent="0.25">
      <c r="A102" s="3" t="s">
        <v>668</v>
      </c>
      <c r="B102" s="3">
        <f>B69</f>
        <v>11028</v>
      </c>
      <c r="C102" s="3">
        <f t="shared" ref="C102:K102" si="2">C69</f>
        <v>3023</v>
      </c>
      <c r="D102" s="3">
        <f t="shared" si="2"/>
        <v>4255</v>
      </c>
      <c r="E102" s="3">
        <f t="shared" si="2"/>
        <v>11081</v>
      </c>
      <c r="F102" s="3">
        <f t="shared" si="2"/>
        <v>30920</v>
      </c>
      <c r="G102" s="3">
        <f t="shared" si="2"/>
        <v>17397</v>
      </c>
      <c r="H102" s="3">
        <f t="shared" si="2"/>
        <v>36178</v>
      </c>
      <c r="I102" s="3">
        <f t="shared" si="2"/>
        <v>68664</v>
      </c>
      <c r="J102" s="3">
        <f t="shared" si="2"/>
        <v>97225</v>
      </c>
      <c r="K102" s="3">
        <f t="shared" si="2"/>
        <v>106502</v>
      </c>
    </row>
    <row r="103" spans="1:11" x14ac:dyDescent="0.25">
      <c r="A103" s="3" t="s">
        <v>669</v>
      </c>
      <c r="B103" s="3">
        <f>B100+B101-B102</f>
        <v>684720.44680000003</v>
      </c>
      <c r="C103" s="3">
        <f t="shared" ref="C103:K103" si="3">C100+C101-C102</f>
        <v>856360.84979999997</v>
      </c>
      <c r="D103" s="3">
        <f t="shared" si="3"/>
        <v>1055527.5012000001</v>
      </c>
      <c r="E103" s="3">
        <f t="shared" si="3"/>
        <v>1437067.4117999999</v>
      </c>
      <c r="F103" s="3">
        <f t="shared" si="3"/>
        <v>1367309.3621999999</v>
      </c>
      <c r="G103" s="3">
        <f t="shared" si="3"/>
        <v>1767407.9742000001</v>
      </c>
      <c r="H103" s="3">
        <f t="shared" si="3"/>
        <v>2318048.8597999997</v>
      </c>
      <c r="I103" s="3">
        <f t="shared" si="3"/>
        <v>2268115.4352000002</v>
      </c>
      <c r="J103" s="3">
        <f t="shared" si="3"/>
        <v>2874905.0690000001</v>
      </c>
      <c r="K103" s="3">
        <f t="shared" si="3"/>
        <v>2725935.324</v>
      </c>
    </row>
    <row r="104" spans="1:11" x14ac:dyDescent="0.25">
      <c r="A104" s="3" t="s">
        <v>675</v>
      </c>
    </row>
    <row r="105" spans="1:11" x14ac:dyDescent="0.25">
      <c r="A105" s="3" t="s">
        <v>670</v>
      </c>
      <c r="B105" s="3">
        <f>B103/'Historical Financial Statement'!D24</f>
        <v>12.608095433453636</v>
      </c>
      <c r="C105" s="3">
        <f>C103/'Historical Financial Statement'!E24</f>
        <v>19.348852206330914</v>
      </c>
      <c r="D105" s="3">
        <f>D103/'Historical Financial Statement'!F24</f>
        <v>18.642966922180225</v>
      </c>
      <c r="E105" s="3">
        <f>E103/'Historical Financial Statement'!G24</f>
        <v>16.446558765364276</v>
      </c>
      <c r="F105" s="3">
        <f>F103/'Historical Financial Statement'!H24</f>
        <v>14.663621236527426</v>
      </c>
      <c r="G105" s="3">
        <f>G103/'Historical Financial Statement'!I24</f>
        <v>22.811445349062328</v>
      </c>
      <c r="H105" s="3">
        <f>H103/'Historical Financial Statement'!J24</f>
        <v>27.456900915605566</v>
      </c>
      <c r="I105" s="3">
        <f>I103/'Historical Financial Statement'!K24</f>
        <v>21.264113807845199</v>
      </c>
      <c r="J105" s="3">
        <f>J103/'Historical Financial Statement'!L24</f>
        <v>16.113945154727009</v>
      </c>
      <c r="K105" s="3">
        <f>K103/'Historical Financial Statement'!M24</f>
        <v>16.646424988549967</v>
      </c>
    </row>
    <row r="106" spans="1:11" x14ac:dyDescent="0.25">
      <c r="A106" s="3" t="s">
        <v>671</v>
      </c>
      <c r="B106" s="3">
        <f>B103/B17</f>
        <v>2.5119704706456383</v>
      </c>
      <c r="C106" s="3">
        <f t="shared" ref="C106:K106" si="4">C103/C17</f>
        <v>2.8174027971337767</v>
      </c>
      <c r="D106" s="3">
        <f t="shared" si="4"/>
        <v>2.7007814309802649</v>
      </c>
      <c r="E106" s="3">
        <f t="shared" si="4"/>
        <v>2.5285480477252049</v>
      </c>
      <c r="F106" s="3">
        <f t="shared" si="4"/>
        <v>2.2915325697736972</v>
      </c>
      <c r="G106" s="3">
        <f t="shared" si="4"/>
        <v>3.790223981625839</v>
      </c>
      <c r="H106" s="3">
        <f t="shared" si="4"/>
        <v>3.3368921201774069</v>
      </c>
      <c r="I106" s="3">
        <f t="shared" si="4"/>
        <v>2.5880029520901511</v>
      </c>
      <c r="J106" s="3">
        <f t="shared" si="4"/>
        <v>3.1977463419354626</v>
      </c>
      <c r="K106" s="3">
        <f t="shared" si="4"/>
        <v>2.8257023985869081</v>
      </c>
    </row>
    <row r="107" spans="1:11" x14ac:dyDescent="0.25">
      <c r="A107" s="3" t="s">
        <v>672</v>
      </c>
      <c r="B107" s="3">
        <f>B57+B58</f>
        <v>231556</v>
      </c>
      <c r="C107" s="3">
        <f t="shared" ref="C107:K107" si="5">C57+C58</f>
        <v>263709</v>
      </c>
      <c r="D107" s="3">
        <f t="shared" si="5"/>
        <v>293506</v>
      </c>
      <c r="E107" s="3">
        <f t="shared" si="5"/>
        <v>387112</v>
      </c>
      <c r="F107" s="3">
        <f t="shared" si="5"/>
        <v>449166</v>
      </c>
      <c r="G107" s="3">
        <f t="shared" si="5"/>
        <v>700172</v>
      </c>
      <c r="H107" s="3">
        <f t="shared" si="5"/>
        <v>779485</v>
      </c>
      <c r="I107" s="3">
        <f t="shared" si="5"/>
        <v>715872</v>
      </c>
      <c r="J107" s="3">
        <f t="shared" si="5"/>
        <v>793481</v>
      </c>
      <c r="K107" s="3">
        <f t="shared" si="5"/>
        <v>843200</v>
      </c>
    </row>
    <row r="108" spans="1:11" x14ac:dyDescent="0.25">
      <c r="A108" s="3" t="s">
        <v>673</v>
      </c>
      <c r="B108" s="3">
        <f>B100/B107</f>
        <v>1.4178317417816855</v>
      </c>
      <c r="C108" s="3">
        <f t="shared" ref="C108:K108" si="6">C100/C107</f>
        <v>1.5785993265303799</v>
      </c>
      <c r="D108" s="3">
        <f t="shared" si="6"/>
        <v>1.8466930870237748</v>
      </c>
      <c r="E108" s="3">
        <f t="shared" si="6"/>
        <v>2.1637934546074518</v>
      </c>
      <c r="F108" s="3">
        <f t="shared" si="6"/>
        <v>1.523669116095163</v>
      </c>
      <c r="G108" s="3">
        <f t="shared" si="6"/>
        <v>1.6637511557160241</v>
      </c>
      <c r="H108" s="3">
        <f t="shared" si="6"/>
        <v>2.097654040552416</v>
      </c>
      <c r="I108" s="3">
        <f t="shared" si="6"/>
        <v>2.0209889969156496</v>
      </c>
      <c r="J108" s="3">
        <f t="shared" si="6"/>
        <v>2.5338515591425632</v>
      </c>
      <c r="K108" s="3">
        <f t="shared" si="6"/>
        <v>2.0463903273244779</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3B747-C3E8-4B40-ABF7-8F3C35FD05F3}">
  <dimension ref="B2:N33"/>
  <sheetViews>
    <sheetView workbookViewId="0">
      <selection activeCell="R13" sqref="R13"/>
    </sheetView>
  </sheetViews>
  <sheetFormatPr defaultRowHeight="15" x14ac:dyDescent="0.25"/>
  <cols>
    <col min="1" max="1" width="2.28515625" customWidth="1"/>
    <col min="2" max="2" width="28" bestFit="1" customWidth="1"/>
    <col min="3" max="7" width="8.85546875" bestFit="1" customWidth="1"/>
    <col min="8" max="9" width="9.85546875" bestFit="1" customWidth="1"/>
    <col min="10" max="10" width="8.85546875" bestFit="1" customWidth="1"/>
  </cols>
  <sheetData>
    <row r="2" spans="2:14" x14ac:dyDescent="0.25">
      <c r="C2" s="33">
        <v>41699</v>
      </c>
      <c r="D2" s="33">
        <v>42064</v>
      </c>
      <c r="E2" s="33">
        <v>42430</v>
      </c>
      <c r="F2" s="33">
        <v>42795</v>
      </c>
      <c r="G2" s="33">
        <v>43160</v>
      </c>
      <c r="H2" s="33">
        <v>43525</v>
      </c>
      <c r="I2" s="33">
        <v>43891</v>
      </c>
      <c r="J2" s="33">
        <v>44256</v>
      </c>
      <c r="K2" s="33">
        <v>44621</v>
      </c>
      <c r="L2" s="33">
        <v>44986</v>
      </c>
      <c r="M2" s="33">
        <v>45352</v>
      </c>
      <c r="N2" s="33">
        <v>45717</v>
      </c>
    </row>
    <row r="3" spans="2:14" x14ac:dyDescent="0.25">
      <c r="B3" t="s">
        <v>115</v>
      </c>
      <c r="C3" s="34">
        <v>42160</v>
      </c>
      <c r="D3" s="34">
        <v>35285</v>
      </c>
      <c r="E3" s="34">
        <v>43447</v>
      </c>
      <c r="F3" s="34">
        <v>51450</v>
      </c>
      <c r="G3" s="34">
        <v>62000</v>
      </c>
      <c r="H3" s="34">
        <v>29191</v>
      </c>
      <c r="I3" s="34">
        <v>77533</v>
      </c>
      <c r="J3">
        <v>-512</v>
      </c>
      <c r="K3" s="34">
        <v>67491</v>
      </c>
      <c r="L3" s="34">
        <v>55340</v>
      </c>
      <c r="M3" s="34">
        <v>73998</v>
      </c>
      <c r="N3" s="34">
        <v>79392</v>
      </c>
    </row>
    <row r="4" spans="2:14" x14ac:dyDescent="0.25">
      <c r="B4" t="s">
        <v>92</v>
      </c>
      <c r="C4" s="34">
        <v>33710</v>
      </c>
      <c r="D4" s="34">
        <v>33052</v>
      </c>
      <c r="E4" s="34">
        <v>36629</v>
      </c>
      <c r="F4" s="34">
        <v>41477</v>
      </c>
      <c r="G4" s="34">
        <v>50083</v>
      </c>
      <c r="H4" s="34">
        <v>57903</v>
      </c>
      <c r="I4" s="34">
        <v>49256</v>
      </c>
      <c r="J4" s="34">
        <v>33186</v>
      </c>
      <c r="K4" s="34">
        <v>55134</v>
      </c>
      <c r="L4" s="34">
        <v>66311</v>
      </c>
      <c r="M4" s="34">
        <v>75419</v>
      </c>
      <c r="N4" s="34">
        <v>58924</v>
      </c>
    </row>
    <row r="5" spans="2:14" x14ac:dyDescent="0.25">
      <c r="B5" t="s">
        <v>45</v>
      </c>
      <c r="C5">
        <v>413</v>
      </c>
      <c r="D5" s="34">
        <v>5462</v>
      </c>
      <c r="E5">
        <v>220</v>
      </c>
      <c r="F5" s="34">
        <v>-1857</v>
      </c>
      <c r="G5" s="34">
        <v>-11397</v>
      </c>
      <c r="H5" s="34">
        <v>-24011</v>
      </c>
      <c r="I5" s="34">
        <v>5050</v>
      </c>
      <c r="J5" s="34">
        <v>2781</v>
      </c>
      <c r="K5" s="34">
        <v>-12639</v>
      </c>
      <c r="L5" s="34">
        <v>-3068</v>
      </c>
      <c r="M5" s="34">
        <v>9930</v>
      </c>
      <c r="N5" s="34">
        <v>3209</v>
      </c>
    </row>
    <row r="6" spans="2:14" x14ac:dyDescent="0.25">
      <c r="B6" t="s">
        <v>30</v>
      </c>
      <c r="C6">
        <v>-203</v>
      </c>
      <c r="D6" s="34">
        <v>6381</v>
      </c>
      <c r="E6" s="34">
        <v>8517</v>
      </c>
      <c r="F6" s="34">
        <v>-5984</v>
      </c>
      <c r="G6" s="34">
        <v>-5550</v>
      </c>
      <c r="H6" s="34">
        <v>-4575</v>
      </c>
      <c r="I6" s="34">
        <v>5342</v>
      </c>
      <c r="J6" s="34">
        <v>1365</v>
      </c>
      <c r="K6" s="34">
        <v>-9337</v>
      </c>
      <c r="L6" s="34">
        <v>-2938</v>
      </c>
      <c r="M6">
        <v>-344</v>
      </c>
      <c r="N6" s="34">
        <v>-4116</v>
      </c>
    </row>
    <row r="7" spans="2:14" x14ac:dyDescent="0.25">
      <c r="B7" t="s">
        <v>93</v>
      </c>
      <c r="C7" s="34">
        <v>14305</v>
      </c>
      <c r="D7" s="34">
        <v>-3528</v>
      </c>
      <c r="E7" s="34">
        <v>6210</v>
      </c>
      <c r="F7" s="34">
        <v>27374</v>
      </c>
      <c r="G7" s="34">
        <v>37479</v>
      </c>
      <c r="H7" s="34">
        <v>9300</v>
      </c>
      <c r="I7" s="34">
        <v>23139</v>
      </c>
      <c r="J7" s="34">
        <v>-36154</v>
      </c>
      <c r="K7" s="34">
        <v>35796</v>
      </c>
      <c r="L7">
        <v>-36</v>
      </c>
      <c r="M7" s="34">
        <v>-1761</v>
      </c>
      <c r="N7" s="34">
        <v>30536</v>
      </c>
    </row>
    <row r="8" spans="2:14" x14ac:dyDescent="0.25">
      <c r="B8" t="s">
        <v>94</v>
      </c>
      <c r="C8" s="34">
        <v>14515</v>
      </c>
      <c r="D8" s="34">
        <v>8315</v>
      </c>
      <c r="E8" s="34">
        <v>14947</v>
      </c>
      <c r="F8" s="34">
        <v>19533</v>
      </c>
      <c r="G8" s="34">
        <v>20532</v>
      </c>
      <c r="H8" s="34">
        <v>-19286</v>
      </c>
      <c r="I8" s="34">
        <v>33531</v>
      </c>
      <c r="J8" s="34">
        <v>-32008</v>
      </c>
      <c r="K8" s="34">
        <v>13820</v>
      </c>
      <c r="L8" s="34">
        <v>-6042</v>
      </c>
      <c r="M8" s="34">
        <v>7825</v>
      </c>
      <c r="N8" s="34">
        <v>29629</v>
      </c>
    </row>
    <row r="9" spans="2:14" x14ac:dyDescent="0.25">
      <c r="B9" t="s">
        <v>95</v>
      </c>
      <c r="C9" s="34">
        <v>-6065</v>
      </c>
      <c r="D9" s="34">
        <v>-6082</v>
      </c>
      <c r="E9" s="34">
        <v>-8129</v>
      </c>
      <c r="F9" s="34">
        <v>-9560</v>
      </c>
      <c r="G9" s="34">
        <v>-8615</v>
      </c>
      <c r="H9" s="34">
        <v>-9426</v>
      </c>
      <c r="I9" s="34">
        <v>-5254</v>
      </c>
      <c r="J9" s="34">
        <v>-1690</v>
      </c>
      <c r="K9" s="34">
        <v>-1463</v>
      </c>
      <c r="L9" s="34">
        <v>-4929</v>
      </c>
      <c r="M9" s="34">
        <v>-9246</v>
      </c>
      <c r="N9" s="34">
        <v>-9161</v>
      </c>
    </row>
    <row r="10" spans="2:14" x14ac:dyDescent="0.25">
      <c r="C10" s="34"/>
      <c r="D10" s="34"/>
      <c r="E10" s="34"/>
      <c r="F10" s="34"/>
      <c r="G10" s="34"/>
      <c r="H10" s="34"/>
      <c r="I10" s="34"/>
      <c r="J10" s="34"/>
      <c r="K10" s="34"/>
      <c r="L10" s="34"/>
      <c r="M10" s="34"/>
      <c r="N10" s="34"/>
    </row>
    <row r="11" spans="2:14" x14ac:dyDescent="0.25">
      <c r="B11" t="s">
        <v>116</v>
      </c>
      <c r="C11" s="34">
        <v>-64013</v>
      </c>
      <c r="D11" s="34">
        <v>-55998</v>
      </c>
      <c r="E11" s="34">
        <v>-41223</v>
      </c>
      <c r="F11" s="34">
        <v>-54949</v>
      </c>
      <c r="G11" s="34">
        <v>-59109</v>
      </c>
      <c r="H11" s="34">
        <v>-53949</v>
      </c>
      <c r="I11" s="34">
        <v>-143583</v>
      </c>
      <c r="J11" s="34">
        <v>74257</v>
      </c>
      <c r="K11" s="34">
        <v>-45315</v>
      </c>
      <c r="L11" s="34">
        <v>-8678</v>
      </c>
      <c r="M11" s="34">
        <v>-38292</v>
      </c>
      <c r="N11" s="34">
        <v>-28106</v>
      </c>
    </row>
    <row r="12" spans="2:14" x14ac:dyDescent="0.25">
      <c r="B12" t="s">
        <v>96</v>
      </c>
      <c r="C12" s="34">
        <v>-32456</v>
      </c>
      <c r="D12" s="34">
        <v>-42720</v>
      </c>
      <c r="E12" s="34">
        <v>-20216</v>
      </c>
      <c r="F12" s="34">
        <v>-30266</v>
      </c>
      <c r="G12" s="34">
        <v>-24700</v>
      </c>
      <c r="H12" s="34">
        <v>-24971</v>
      </c>
      <c r="I12" s="34">
        <v>-23183</v>
      </c>
      <c r="J12" s="34">
        <v>-21755</v>
      </c>
      <c r="K12" s="34">
        <v>-18149</v>
      </c>
      <c r="L12" s="34">
        <v>-29324</v>
      </c>
      <c r="M12" s="34">
        <v>-34258</v>
      </c>
      <c r="N12" s="34">
        <v>-37304</v>
      </c>
    </row>
    <row r="13" spans="2:14" x14ac:dyDescent="0.25">
      <c r="B13" t="s">
        <v>97</v>
      </c>
      <c r="C13">
        <v>57</v>
      </c>
      <c r="D13">
        <v>86</v>
      </c>
      <c r="E13">
        <v>293</v>
      </c>
      <c r="F13" s="34">
        <v>1452</v>
      </c>
      <c r="G13">
        <v>75</v>
      </c>
      <c r="H13">
        <v>103</v>
      </c>
      <c r="I13" s="34">
        <v>31864</v>
      </c>
      <c r="J13" s="34">
        <v>1147</v>
      </c>
      <c r="K13">
        <v>30</v>
      </c>
      <c r="L13">
        <v>146</v>
      </c>
      <c r="M13">
        <v>62</v>
      </c>
      <c r="N13">
        <v>39</v>
      </c>
    </row>
    <row r="14" spans="2:14" x14ac:dyDescent="0.25">
      <c r="B14" t="s">
        <v>98</v>
      </c>
      <c r="C14" s="34">
        <v>-778343</v>
      </c>
      <c r="D14" s="34">
        <v>-667097</v>
      </c>
      <c r="E14" s="34">
        <v>-668990</v>
      </c>
      <c r="F14" s="34">
        <v>-609377</v>
      </c>
      <c r="G14" s="34">
        <v>-506925</v>
      </c>
      <c r="H14" s="34">
        <v>-1020880</v>
      </c>
      <c r="I14" s="34">
        <v>-1011276</v>
      </c>
      <c r="J14" s="34">
        <v>-432492</v>
      </c>
      <c r="K14" s="34">
        <v>-521980</v>
      </c>
      <c r="L14" s="34">
        <v>-219404</v>
      </c>
      <c r="M14" s="34">
        <v>-375590</v>
      </c>
      <c r="N14" s="34">
        <v>-412018</v>
      </c>
    </row>
    <row r="15" spans="2:14" x14ac:dyDescent="0.25">
      <c r="B15" t="s">
        <v>99</v>
      </c>
      <c r="C15" s="34">
        <v>747111</v>
      </c>
      <c r="D15" s="34">
        <v>643694</v>
      </c>
      <c r="E15" s="34">
        <v>668877</v>
      </c>
      <c r="F15" s="34">
        <v>619551</v>
      </c>
      <c r="G15" s="34">
        <v>504318</v>
      </c>
      <c r="H15" s="34">
        <v>1017713</v>
      </c>
      <c r="I15" s="34">
        <v>1002471</v>
      </c>
      <c r="J15" s="34">
        <v>434074</v>
      </c>
      <c r="K15" s="34">
        <v>502224</v>
      </c>
      <c r="L15" s="34">
        <v>278222</v>
      </c>
      <c r="M15" s="34">
        <v>394803</v>
      </c>
      <c r="N15">
        <v>0</v>
      </c>
    </row>
    <row r="16" spans="2:14" x14ac:dyDescent="0.25">
      <c r="B16" t="s">
        <v>100</v>
      </c>
      <c r="C16">
        <v>0</v>
      </c>
      <c r="D16">
        <v>0</v>
      </c>
      <c r="E16">
        <v>-917</v>
      </c>
      <c r="F16">
        <v>0</v>
      </c>
      <c r="G16">
        <v>0</v>
      </c>
      <c r="H16">
        <v>0</v>
      </c>
      <c r="I16">
        <v>0</v>
      </c>
      <c r="J16">
        <v>0</v>
      </c>
      <c r="K16">
        <v>0</v>
      </c>
      <c r="L16">
        <v>0</v>
      </c>
      <c r="M16">
        <v>0</v>
      </c>
      <c r="N16">
        <v>0</v>
      </c>
    </row>
    <row r="17" spans="2:14" x14ac:dyDescent="0.25">
      <c r="B17" t="s">
        <v>101</v>
      </c>
      <c r="C17" s="34">
        <v>6838</v>
      </c>
      <c r="D17" s="34">
        <v>6584</v>
      </c>
      <c r="E17" s="34">
        <v>3850</v>
      </c>
      <c r="F17" s="34">
        <v>2153</v>
      </c>
      <c r="G17" s="34">
        <v>2162</v>
      </c>
      <c r="H17" s="34">
        <v>2368</v>
      </c>
      <c r="I17" s="34">
        <v>2890</v>
      </c>
      <c r="J17" s="34">
        <v>10706</v>
      </c>
      <c r="K17" s="34">
        <v>5955</v>
      </c>
      <c r="L17" s="34">
        <v>9640</v>
      </c>
      <c r="M17" s="34">
        <v>9858</v>
      </c>
      <c r="N17" s="34">
        <v>12292</v>
      </c>
    </row>
    <row r="18" spans="2:14" x14ac:dyDescent="0.25">
      <c r="B18" t="s">
        <v>102</v>
      </c>
      <c r="C18">
        <v>91</v>
      </c>
      <c r="D18">
        <v>188</v>
      </c>
      <c r="E18">
        <v>691</v>
      </c>
      <c r="F18">
        <v>271</v>
      </c>
      <c r="G18">
        <v>934</v>
      </c>
      <c r="H18">
        <v>448</v>
      </c>
      <c r="I18">
        <v>350</v>
      </c>
      <c r="J18">
        <v>141</v>
      </c>
      <c r="K18">
        <v>276</v>
      </c>
      <c r="L18">
        <v>92</v>
      </c>
      <c r="M18">
        <v>59</v>
      </c>
      <c r="N18" s="34">
        <v>1763</v>
      </c>
    </row>
    <row r="19" spans="2:14" x14ac:dyDescent="0.25">
      <c r="B19" t="s">
        <v>103</v>
      </c>
      <c r="C19">
        <v>0</v>
      </c>
      <c r="D19">
        <v>0</v>
      </c>
      <c r="E19" s="34">
        <v>-25255</v>
      </c>
      <c r="F19" s="34">
        <v>-66498</v>
      </c>
      <c r="G19" s="34">
        <v>-34973</v>
      </c>
      <c r="H19" s="34">
        <v>-28827</v>
      </c>
      <c r="I19" s="34">
        <v>-212106</v>
      </c>
      <c r="J19" s="34">
        <v>-16147</v>
      </c>
      <c r="K19" s="34">
        <v>-37574</v>
      </c>
      <c r="L19" s="34">
        <v>-59983</v>
      </c>
      <c r="M19" s="34">
        <v>-40506</v>
      </c>
      <c r="N19" s="34">
        <v>-46372</v>
      </c>
    </row>
    <row r="20" spans="2:14" x14ac:dyDescent="0.25">
      <c r="B20" t="s">
        <v>104</v>
      </c>
      <c r="C20">
        <v>0</v>
      </c>
      <c r="D20">
        <v>0</v>
      </c>
      <c r="E20">
        <v>0</v>
      </c>
      <c r="F20">
        <v>0</v>
      </c>
      <c r="G20">
        <v>0</v>
      </c>
      <c r="H20">
        <v>0</v>
      </c>
      <c r="I20">
        <v>0</v>
      </c>
      <c r="J20" s="34">
        <v>-7321</v>
      </c>
      <c r="K20">
        <v>0</v>
      </c>
      <c r="L20">
        <v>0</v>
      </c>
      <c r="M20">
        <v>0</v>
      </c>
      <c r="N20">
        <v>0</v>
      </c>
    </row>
    <row r="21" spans="2:14" x14ac:dyDescent="0.25">
      <c r="B21" t="s">
        <v>105</v>
      </c>
      <c r="C21">
        <v>0</v>
      </c>
      <c r="D21">
        <v>0</v>
      </c>
      <c r="E21">
        <v>444</v>
      </c>
      <c r="F21" s="34">
        <v>26461</v>
      </c>
      <c r="G21">
        <v>0</v>
      </c>
      <c r="H21">
        <v>97</v>
      </c>
      <c r="I21" s="34">
        <v>65365</v>
      </c>
      <c r="J21" s="34">
        <v>133647</v>
      </c>
      <c r="K21">
        <v>956</v>
      </c>
      <c r="L21">
        <v>213</v>
      </c>
      <c r="M21" s="34">
        <v>4305</v>
      </c>
      <c r="N21" s="34">
        <v>15089</v>
      </c>
    </row>
    <row r="22" spans="2:14" x14ac:dyDescent="0.25">
      <c r="B22" t="s">
        <v>106</v>
      </c>
      <c r="C22" s="34">
        <v>-7311</v>
      </c>
      <c r="D22" s="34">
        <v>3267</v>
      </c>
      <c r="E22">
        <v>0</v>
      </c>
      <c r="F22" s="34">
        <v>1304</v>
      </c>
      <c r="G22">
        <v>0</v>
      </c>
      <c r="H22">
        <v>0</v>
      </c>
      <c r="I22">
        <v>42</v>
      </c>
      <c r="J22" s="34">
        <v>-27743</v>
      </c>
      <c r="K22" s="34">
        <v>22947</v>
      </c>
      <c r="L22" s="34">
        <v>11720</v>
      </c>
      <c r="M22" s="34">
        <v>2975</v>
      </c>
      <c r="N22" s="34">
        <v>438405</v>
      </c>
    </row>
    <row r="23" spans="2:14" x14ac:dyDescent="0.25">
      <c r="C23" s="34"/>
      <c r="D23" s="34"/>
      <c r="F23" s="34"/>
      <c r="J23" s="34"/>
      <c r="K23" s="34"/>
      <c r="L23" s="34"/>
      <c r="M23" s="34"/>
      <c r="N23" s="34"/>
    </row>
    <row r="24" spans="2:14" x14ac:dyDescent="0.25">
      <c r="B24" t="s">
        <v>117</v>
      </c>
      <c r="C24" s="34">
        <v>5530</v>
      </c>
      <c r="D24">
        <v>-940</v>
      </c>
      <c r="E24" s="34">
        <v>-6903</v>
      </c>
      <c r="F24" s="34">
        <v>-1639</v>
      </c>
      <c r="G24" s="34">
        <v>-1914</v>
      </c>
      <c r="H24" s="34">
        <v>25795</v>
      </c>
      <c r="I24" s="34">
        <v>70767</v>
      </c>
      <c r="J24" s="34">
        <v>-76657</v>
      </c>
      <c r="K24" s="34">
        <v>-6035</v>
      </c>
      <c r="L24" s="34">
        <v>-7369</v>
      </c>
      <c r="M24" s="34">
        <v>-27465</v>
      </c>
      <c r="N24" s="34">
        <v>-38063</v>
      </c>
    </row>
    <row r="25" spans="2:14" x14ac:dyDescent="0.25">
      <c r="B25" t="s">
        <v>107</v>
      </c>
      <c r="C25">
        <v>183</v>
      </c>
      <c r="D25">
        <v>226</v>
      </c>
      <c r="E25">
        <v>283</v>
      </c>
      <c r="F25">
        <v>692</v>
      </c>
      <c r="G25">
        <v>125</v>
      </c>
      <c r="H25">
        <v>117</v>
      </c>
      <c r="I25">
        <v>18</v>
      </c>
      <c r="J25">
        <v>5</v>
      </c>
      <c r="K25">
        <v>5</v>
      </c>
      <c r="L25">
        <v>40</v>
      </c>
      <c r="M25">
        <v>7</v>
      </c>
      <c r="N25">
        <v>0</v>
      </c>
    </row>
    <row r="26" spans="2:14" x14ac:dyDescent="0.25">
      <c r="B26" t="s">
        <v>108</v>
      </c>
      <c r="C26" s="34">
        <v>32148</v>
      </c>
      <c r="D26" s="34">
        <v>20310</v>
      </c>
      <c r="E26" s="34">
        <v>9032</v>
      </c>
      <c r="F26" s="34">
        <v>8284</v>
      </c>
      <c r="G26" s="34">
        <v>28328</v>
      </c>
      <c r="H26" s="34">
        <v>48136</v>
      </c>
      <c r="I26" s="34">
        <v>99138</v>
      </c>
      <c r="J26" s="34">
        <v>45975</v>
      </c>
      <c r="K26" s="34">
        <v>69678</v>
      </c>
      <c r="L26" s="34">
        <v>31956</v>
      </c>
      <c r="M26" s="34">
        <v>38592</v>
      </c>
      <c r="N26" s="34">
        <v>4016</v>
      </c>
    </row>
    <row r="27" spans="2:14" x14ac:dyDescent="0.25">
      <c r="B27" t="s">
        <v>109</v>
      </c>
      <c r="C27" s="34">
        <v>-19672</v>
      </c>
      <c r="D27" s="34">
        <v>-14857</v>
      </c>
      <c r="E27" s="34">
        <v>-4591</v>
      </c>
      <c r="F27">
        <v>0</v>
      </c>
      <c r="G27" s="34">
        <v>-19199</v>
      </c>
      <c r="H27" s="34">
        <v>-6594</v>
      </c>
      <c r="I27" s="34">
        <v>-9238</v>
      </c>
      <c r="J27" s="34">
        <v>-104369</v>
      </c>
      <c r="K27" s="34">
        <v>-60293</v>
      </c>
      <c r="L27" s="34">
        <v>-20252</v>
      </c>
      <c r="M27" s="34">
        <v>-43004</v>
      </c>
      <c r="N27" s="34">
        <v>-20680</v>
      </c>
    </row>
    <row r="28" spans="2:14" x14ac:dyDescent="0.25">
      <c r="B28" t="s">
        <v>110</v>
      </c>
      <c r="C28" s="34">
        <v>-4053</v>
      </c>
      <c r="D28" s="34">
        <v>-3368</v>
      </c>
      <c r="E28" s="34">
        <v>-4376</v>
      </c>
      <c r="F28" s="34">
        <v>-5355</v>
      </c>
      <c r="G28" s="34">
        <v>-7267</v>
      </c>
      <c r="H28" s="34">
        <v>-11584</v>
      </c>
      <c r="I28" s="34">
        <v>-14471</v>
      </c>
      <c r="J28" s="34">
        <v>-14294</v>
      </c>
      <c r="K28" s="34">
        <v>-11019</v>
      </c>
      <c r="L28" s="34">
        <v>-13953</v>
      </c>
      <c r="M28" s="34">
        <v>-16873</v>
      </c>
      <c r="N28" s="34">
        <v>-14562</v>
      </c>
    </row>
    <row r="29" spans="2:14" x14ac:dyDescent="0.25">
      <c r="B29" t="s">
        <v>111</v>
      </c>
      <c r="C29" s="34">
        <v>-3093</v>
      </c>
      <c r="D29" s="34">
        <v>-3268</v>
      </c>
      <c r="E29" s="34">
        <v>-7259</v>
      </c>
      <c r="F29">
        <v>0</v>
      </c>
      <c r="G29" s="34">
        <v>-3916</v>
      </c>
      <c r="H29" s="34">
        <v>-4282</v>
      </c>
      <c r="I29" s="34">
        <v>-4584</v>
      </c>
      <c r="J29" s="34">
        <v>-3921</v>
      </c>
      <c r="K29" s="34">
        <v>-4297</v>
      </c>
      <c r="L29" s="34">
        <v>-5083</v>
      </c>
      <c r="M29" s="34">
        <v>-6089</v>
      </c>
      <c r="N29" s="34">
        <v>-6766</v>
      </c>
    </row>
    <row r="30" spans="2:14" x14ac:dyDescent="0.25">
      <c r="B30" t="s">
        <v>112</v>
      </c>
      <c r="C30">
        <v>0</v>
      </c>
      <c r="D30">
        <v>0</v>
      </c>
      <c r="E30">
        <v>0</v>
      </c>
      <c r="F30">
        <v>0</v>
      </c>
      <c r="G30">
        <v>0</v>
      </c>
      <c r="H30">
        <v>0</v>
      </c>
      <c r="I30">
        <v>-97</v>
      </c>
      <c r="J30">
        <v>-53</v>
      </c>
      <c r="K30">
        <v>-109</v>
      </c>
      <c r="L30">
        <v>-77</v>
      </c>
      <c r="M30">
        <v>-98</v>
      </c>
      <c r="N30">
        <v>-186</v>
      </c>
    </row>
    <row r="31" spans="2:14" x14ac:dyDescent="0.25">
      <c r="B31" t="s">
        <v>113</v>
      </c>
      <c r="C31">
        <v>17</v>
      </c>
      <c r="D31">
        <v>17</v>
      </c>
      <c r="E31">
        <v>8</v>
      </c>
      <c r="F31">
        <v>4</v>
      </c>
      <c r="G31">
        <v>15</v>
      </c>
      <c r="H31">
        <v>2</v>
      </c>
      <c r="I31">
        <v>1</v>
      </c>
      <c r="J31">
        <v>0</v>
      </c>
      <c r="K31">
        <v>0</v>
      </c>
      <c r="L31">
        <v>0</v>
      </c>
      <c r="M31">
        <v>0</v>
      </c>
      <c r="N31">
        <v>0</v>
      </c>
    </row>
    <row r="32" spans="2:14" x14ac:dyDescent="0.25">
      <c r="B32" t="s">
        <v>114</v>
      </c>
      <c r="C32">
        <v>0</v>
      </c>
      <c r="D32">
        <v>0</v>
      </c>
      <c r="E32">
        <v>0</v>
      </c>
      <c r="F32" s="34">
        <v>-5264</v>
      </c>
      <c r="G32">
        <v>0</v>
      </c>
      <c r="H32">
        <v>0</v>
      </c>
      <c r="I32">
        <v>0</v>
      </c>
      <c r="J32">
        <v>0</v>
      </c>
      <c r="K32">
        <v>0</v>
      </c>
      <c r="L32">
        <v>0</v>
      </c>
      <c r="M32">
        <v>0</v>
      </c>
      <c r="N32">
        <v>115</v>
      </c>
    </row>
    <row r="33" spans="2:14" x14ac:dyDescent="0.25">
      <c r="B33" t="s">
        <v>21</v>
      </c>
      <c r="C33" s="34">
        <v>-16323</v>
      </c>
      <c r="D33" s="34">
        <v>-21653</v>
      </c>
      <c r="E33" s="34">
        <v>-4679</v>
      </c>
      <c r="F33" s="34">
        <v>-5138</v>
      </c>
      <c r="G33">
        <v>977</v>
      </c>
      <c r="H33" s="34">
        <v>1037</v>
      </c>
      <c r="I33" s="34">
        <v>4717</v>
      </c>
      <c r="J33" s="34">
        <v>-2912</v>
      </c>
      <c r="K33" s="34">
        <v>16141</v>
      </c>
      <c r="L33" s="34">
        <v>39293</v>
      </c>
      <c r="M33" s="34">
        <v>8241</v>
      </c>
      <c r="N33" s="34">
        <v>13223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DE4C3-7DF5-4227-A8D1-6CA6648507A9}">
  <dimension ref="B3:C3"/>
  <sheetViews>
    <sheetView showGridLines="0" workbookViewId="0">
      <selection activeCell="R13" sqref="R13"/>
    </sheetView>
  </sheetViews>
  <sheetFormatPr defaultRowHeight="15" x14ac:dyDescent="0.25"/>
  <cols>
    <col min="2" max="2" width="20.7109375" customWidth="1"/>
    <col min="3" max="3" width="59.140625" customWidth="1"/>
  </cols>
  <sheetData>
    <row r="3" spans="2:3" ht="180" x14ac:dyDescent="0.25">
      <c r="B3" t="s">
        <v>57</v>
      </c>
      <c r="C3" s="14" t="s">
        <v>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F604-FBC0-4198-A2A9-E0DA1F38D625}">
  <dimension ref="B2:T263"/>
  <sheetViews>
    <sheetView topLeftCell="O1" workbookViewId="0">
      <selection activeCell="P28" sqref="P28:Q31"/>
    </sheetView>
  </sheetViews>
  <sheetFormatPr defaultRowHeight="15" x14ac:dyDescent="0.25"/>
  <cols>
    <col min="2" max="2" width="10.42578125" style="255" bestFit="1" customWidth="1"/>
    <col min="7" max="10" width="15.7109375" customWidth="1"/>
    <col min="15" max="15" width="74.140625" bestFit="1" customWidth="1"/>
    <col min="16" max="16" width="16.42578125" bestFit="1" customWidth="1"/>
    <col min="17" max="17" width="16.28515625" bestFit="1" customWidth="1"/>
    <col min="18" max="18" width="14" customWidth="1"/>
  </cols>
  <sheetData>
    <row r="2" spans="2:20" x14ac:dyDescent="0.25">
      <c r="B2" t="s">
        <v>157</v>
      </c>
      <c r="C2" t="s">
        <v>158</v>
      </c>
      <c r="D2" t="s">
        <v>406</v>
      </c>
      <c r="E2" t="s">
        <v>322</v>
      </c>
      <c r="F2" t="s">
        <v>325</v>
      </c>
      <c r="G2" t="s">
        <v>407</v>
      </c>
      <c r="I2" t="s">
        <v>676</v>
      </c>
      <c r="K2" t="s">
        <v>408</v>
      </c>
    </row>
    <row r="3" spans="2:20" ht="20.100000000000001" customHeight="1" x14ac:dyDescent="0.25">
      <c r="B3" s="190">
        <v>45872</v>
      </c>
      <c r="C3" s="191">
        <v>1389.4</v>
      </c>
      <c r="D3" s="191">
        <v>1395.1</v>
      </c>
      <c r="E3" s="191">
        <v>1416</v>
      </c>
      <c r="F3" s="191">
        <v>1366.6</v>
      </c>
      <c r="G3" t="s">
        <v>409</v>
      </c>
      <c r="H3" t="str">
        <f>LEFT(G3,LEN(G3)-1)</f>
        <v>31.44</v>
      </c>
      <c r="I3">
        <f>H3*1000000</f>
        <v>31440000</v>
      </c>
      <c r="J3">
        <f>I3/1000000</f>
        <v>31.44</v>
      </c>
      <c r="K3" s="4">
        <v>-3.0999999999999999E-3</v>
      </c>
      <c r="O3" t="s">
        <v>678</v>
      </c>
      <c r="P3" t="s">
        <v>679</v>
      </c>
      <c r="Q3" t="s">
        <v>680</v>
      </c>
      <c r="R3" t="s">
        <v>690</v>
      </c>
      <c r="S3">
        <f>1380</f>
        <v>1380</v>
      </c>
      <c r="T3">
        <v>100</v>
      </c>
    </row>
    <row r="4" spans="2:20" ht="20.100000000000001" customHeight="1" x14ac:dyDescent="0.25">
      <c r="B4" s="190">
        <v>45865</v>
      </c>
      <c r="C4" s="191">
        <v>1393.7</v>
      </c>
      <c r="D4" s="191">
        <v>1392.3</v>
      </c>
      <c r="E4" s="191">
        <v>1423.3</v>
      </c>
      <c r="F4" s="191">
        <v>1382.2</v>
      </c>
      <c r="G4" t="s">
        <v>410</v>
      </c>
      <c r="H4" t="str">
        <f t="shared" ref="H4:H67" si="0">LEFT(G4,LEN(G4)-1)</f>
        <v>53.10</v>
      </c>
      <c r="I4">
        <f t="shared" ref="I4:I67" si="1">H4*1000000</f>
        <v>53100000</v>
      </c>
      <c r="J4">
        <f t="shared" ref="J4:J67" si="2">I4/1000000</f>
        <v>53.1</v>
      </c>
      <c r="K4" s="4">
        <v>1.4E-3</v>
      </c>
      <c r="O4" t="s">
        <v>681</v>
      </c>
      <c r="P4">
        <v>147.9199658</v>
      </c>
      <c r="Q4" s="21">
        <f>Q17/$T$3</f>
        <v>0.1114</v>
      </c>
      <c r="R4">
        <f>$S$3*P4</f>
        <v>204129.55280400001</v>
      </c>
    </row>
    <row r="5" spans="2:20" ht="20.100000000000001" customHeight="1" x14ac:dyDescent="0.25">
      <c r="B5" s="190">
        <v>45858</v>
      </c>
      <c r="C5" s="191">
        <v>1391.7</v>
      </c>
      <c r="D5" s="191">
        <v>1465</v>
      </c>
      <c r="E5" s="191">
        <v>1476</v>
      </c>
      <c r="F5" s="191">
        <v>1384.1</v>
      </c>
      <c r="G5" t="s">
        <v>411</v>
      </c>
      <c r="H5" t="str">
        <f t="shared" si="0"/>
        <v>77.79</v>
      </c>
      <c r="I5">
        <f t="shared" si="1"/>
        <v>77790000</v>
      </c>
      <c r="J5">
        <f t="shared" si="2"/>
        <v>77.790000000000006</v>
      </c>
      <c r="K5" s="4">
        <v>-5.7099999999999998E-2</v>
      </c>
      <c r="O5" t="s">
        <v>682</v>
      </c>
      <c r="P5">
        <v>109.11389200000001</v>
      </c>
      <c r="Q5" s="21">
        <f t="shared" ref="Q5:Q13" si="3">Q18/$T$3</f>
        <v>8.2200000000000009E-2</v>
      </c>
      <c r="R5">
        <f t="shared" ref="R5:R13" si="4">$S$3*P5</f>
        <v>150577.17096000002</v>
      </c>
    </row>
    <row r="6" spans="2:20" ht="20.100000000000001" customHeight="1" x14ac:dyDescent="0.25">
      <c r="B6" s="190">
        <v>45851</v>
      </c>
      <c r="C6" s="191">
        <v>1476</v>
      </c>
      <c r="D6" s="191">
        <v>1492.2</v>
      </c>
      <c r="E6" s="191">
        <v>1500</v>
      </c>
      <c r="F6" s="191">
        <v>1469.1</v>
      </c>
      <c r="G6" t="s">
        <v>412</v>
      </c>
      <c r="H6" t="str">
        <f t="shared" si="0"/>
        <v>51.01</v>
      </c>
      <c r="I6">
        <f t="shared" si="1"/>
        <v>51010000</v>
      </c>
      <c r="J6">
        <f t="shared" si="2"/>
        <v>51.01</v>
      </c>
      <c r="K6" s="4">
        <v>-1.2800000000000001E-2</v>
      </c>
      <c r="O6" t="s">
        <v>683</v>
      </c>
      <c r="P6">
        <v>109.11389200000001</v>
      </c>
      <c r="Q6" s="21">
        <f t="shared" si="3"/>
        <v>8.2200000000000009E-2</v>
      </c>
      <c r="R6">
        <f t="shared" si="4"/>
        <v>150577.17096000002</v>
      </c>
    </row>
    <row r="7" spans="2:20" ht="20.100000000000001" customHeight="1" x14ac:dyDescent="0.25">
      <c r="B7" s="190">
        <v>45844</v>
      </c>
      <c r="C7" s="191">
        <v>1495.2</v>
      </c>
      <c r="D7" s="191">
        <v>1526.6</v>
      </c>
      <c r="E7" s="191">
        <v>1551</v>
      </c>
      <c r="F7" s="191">
        <v>1490.3</v>
      </c>
      <c r="G7" t="s">
        <v>413</v>
      </c>
      <c r="H7" t="str">
        <f t="shared" si="0"/>
        <v>40.58</v>
      </c>
      <c r="I7">
        <f t="shared" si="1"/>
        <v>40580000</v>
      </c>
      <c r="J7">
        <f t="shared" si="2"/>
        <v>40.58</v>
      </c>
      <c r="K7" s="4">
        <v>-2.1000000000000001E-2</v>
      </c>
      <c r="O7" t="s">
        <v>684</v>
      </c>
      <c r="P7">
        <v>109.11389200000001</v>
      </c>
      <c r="Q7" s="21">
        <f t="shared" si="3"/>
        <v>8.2200000000000009E-2</v>
      </c>
      <c r="R7">
        <f t="shared" si="4"/>
        <v>150577.17096000002</v>
      </c>
    </row>
    <row r="8" spans="2:20" ht="20.100000000000001" customHeight="1" x14ac:dyDescent="0.25">
      <c r="B8" s="190">
        <v>45837</v>
      </c>
      <c r="C8" s="191">
        <v>1527.3</v>
      </c>
      <c r="D8" s="191">
        <v>1513.8</v>
      </c>
      <c r="E8" s="191">
        <v>1531.9</v>
      </c>
      <c r="F8" s="191">
        <v>1496</v>
      </c>
      <c r="G8" t="s">
        <v>414</v>
      </c>
      <c r="H8" t="str">
        <f t="shared" si="0"/>
        <v>43.03</v>
      </c>
      <c r="I8">
        <f t="shared" si="1"/>
        <v>43030000</v>
      </c>
      <c r="J8">
        <f t="shared" si="2"/>
        <v>43.03</v>
      </c>
      <c r="K8" s="4">
        <v>7.9000000000000008E-3</v>
      </c>
      <c r="O8" t="s">
        <v>685</v>
      </c>
      <c r="P8">
        <v>91.943615800000003</v>
      </c>
      <c r="Q8" s="21">
        <f t="shared" si="3"/>
        <v>6.93E-2</v>
      </c>
      <c r="R8">
        <f t="shared" si="4"/>
        <v>126882.18980400001</v>
      </c>
    </row>
    <row r="9" spans="2:20" ht="20.100000000000001" customHeight="1" x14ac:dyDescent="0.25">
      <c r="B9" s="190">
        <v>45830</v>
      </c>
      <c r="C9" s="191">
        <v>1515.4</v>
      </c>
      <c r="D9" s="191">
        <v>1453</v>
      </c>
      <c r="E9" s="191">
        <v>1522</v>
      </c>
      <c r="F9" s="191">
        <v>1442</v>
      </c>
      <c r="G9" t="s">
        <v>415</v>
      </c>
      <c r="H9" t="str">
        <f t="shared" si="0"/>
        <v>55.69</v>
      </c>
      <c r="I9">
        <f t="shared" si="1"/>
        <v>55690000</v>
      </c>
      <c r="J9">
        <f t="shared" si="2"/>
        <v>55.69</v>
      </c>
      <c r="K9" s="4">
        <v>3.3599999999999998E-2</v>
      </c>
      <c r="O9" t="s">
        <v>686</v>
      </c>
      <c r="P9">
        <v>60.8030142</v>
      </c>
      <c r="Q9" s="21">
        <f t="shared" si="3"/>
        <v>4.58E-2</v>
      </c>
      <c r="R9">
        <f t="shared" si="4"/>
        <v>83908.159595999998</v>
      </c>
    </row>
    <row r="10" spans="2:20" ht="20.100000000000001" customHeight="1" x14ac:dyDescent="0.25">
      <c r="B10" s="190">
        <v>45823</v>
      </c>
      <c r="C10" s="191">
        <v>1466.2</v>
      </c>
      <c r="D10" s="191">
        <v>1426.9</v>
      </c>
      <c r="E10" s="191">
        <v>1471</v>
      </c>
      <c r="F10" s="191">
        <v>1424.4</v>
      </c>
      <c r="G10" t="s">
        <v>416</v>
      </c>
      <c r="H10" t="str">
        <f t="shared" si="0"/>
        <v>64.52</v>
      </c>
      <c r="I10">
        <f t="shared" si="1"/>
        <v>64519999.999999993</v>
      </c>
      <c r="J10">
        <f t="shared" si="2"/>
        <v>64.52</v>
      </c>
      <c r="K10" s="4">
        <v>2.6800000000000001E-2</v>
      </c>
      <c r="O10" t="s">
        <v>687</v>
      </c>
      <c r="P10">
        <v>48.188401200000001</v>
      </c>
      <c r="Q10" s="21">
        <f t="shared" si="3"/>
        <v>3.6299999999999999E-2</v>
      </c>
      <c r="R10">
        <f t="shared" si="4"/>
        <v>66499.993656000006</v>
      </c>
    </row>
    <row r="11" spans="2:20" ht="20.100000000000001" customHeight="1" x14ac:dyDescent="0.25">
      <c r="B11" s="190">
        <v>45816</v>
      </c>
      <c r="C11" s="191">
        <v>1427.9</v>
      </c>
      <c r="D11" s="191">
        <v>1457</v>
      </c>
      <c r="E11" s="191">
        <v>1468.6</v>
      </c>
      <c r="F11" s="191">
        <v>1414.3</v>
      </c>
      <c r="G11" t="s">
        <v>417</v>
      </c>
      <c r="H11" t="str">
        <f t="shared" si="0"/>
        <v>42.58</v>
      </c>
      <c r="I11">
        <f t="shared" si="1"/>
        <v>42580000</v>
      </c>
      <c r="J11">
        <f t="shared" si="2"/>
        <v>42.58</v>
      </c>
      <c r="K11" s="4">
        <v>-1.0800000000000001E-2</v>
      </c>
      <c r="O11" t="s">
        <v>691</v>
      </c>
      <c r="P11">
        <v>34.376564000000002</v>
      </c>
      <c r="Q11" s="21">
        <f t="shared" si="3"/>
        <v>2.5899999999999999E-2</v>
      </c>
      <c r="R11">
        <f t="shared" si="4"/>
        <v>47439.658320000002</v>
      </c>
    </row>
    <row r="12" spans="2:20" ht="20.100000000000001" customHeight="1" x14ac:dyDescent="0.25">
      <c r="B12" s="190">
        <v>45809</v>
      </c>
      <c r="C12" s="191">
        <v>1443.5</v>
      </c>
      <c r="D12" s="191">
        <v>1412.1</v>
      </c>
      <c r="E12" s="191">
        <v>1454.7</v>
      </c>
      <c r="F12" s="191">
        <v>1395.6</v>
      </c>
      <c r="G12" t="s">
        <v>418</v>
      </c>
      <c r="H12" t="str">
        <f t="shared" si="0"/>
        <v>49.38</v>
      </c>
      <c r="I12">
        <f t="shared" si="1"/>
        <v>49380000</v>
      </c>
      <c r="J12">
        <f t="shared" si="2"/>
        <v>49.38</v>
      </c>
      <c r="K12" s="4">
        <v>1.5900000000000001E-2</v>
      </c>
      <c r="O12" t="s">
        <v>688</v>
      </c>
      <c r="P12">
        <v>33.760543499999997</v>
      </c>
      <c r="Q12" s="21">
        <f t="shared" si="3"/>
        <v>2.5399999999999999E-2</v>
      </c>
      <c r="R12">
        <f t="shared" si="4"/>
        <v>46589.550029999999</v>
      </c>
    </row>
    <row r="13" spans="2:20" ht="20.100000000000001" customHeight="1" x14ac:dyDescent="0.25">
      <c r="B13" s="190">
        <v>45802</v>
      </c>
      <c r="C13" s="191">
        <v>1420.9</v>
      </c>
      <c r="D13" s="191">
        <v>1432</v>
      </c>
      <c r="E13" s="191">
        <v>1441</v>
      </c>
      <c r="F13" s="191">
        <v>1408.6</v>
      </c>
      <c r="G13" t="s">
        <v>419</v>
      </c>
      <c r="H13" t="str">
        <f t="shared" si="0"/>
        <v>50.99</v>
      </c>
      <c r="I13">
        <f t="shared" si="1"/>
        <v>50990000</v>
      </c>
      <c r="J13">
        <f t="shared" si="2"/>
        <v>50.99</v>
      </c>
      <c r="K13" s="4">
        <v>-4.1000000000000003E-3</v>
      </c>
      <c r="O13" t="s">
        <v>689</v>
      </c>
      <c r="P13">
        <v>24.925054800000002</v>
      </c>
      <c r="Q13" s="21">
        <f t="shared" si="3"/>
        <v>1.8799999999999997E-2</v>
      </c>
      <c r="R13">
        <f t="shared" si="4"/>
        <v>34396.575624000005</v>
      </c>
    </row>
    <row r="14" spans="2:20" x14ac:dyDescent="0.25">
      <c r="B14" s="190">
        <v>45795</v>
      </c>
      <c r="C14" s="191">
        <v>1426.8</v>
      </c>
      <c r="D14" s="191">
        <v>1452.1</v>
      </c>
      <c r="E14" s="191">
        <v>1454.6</v>
      </c>
      <c r="F14" s="191">
        <v>1396.9</v>
      </c>
      <c r="G14" t="s">
        <v>420</v>
      </c>
      <c r="H14" t="str">
        <f t="shared" si="0"/>
        <v>42.21</v>
      </c>
      <c r="I14">
        <f t="shared" si="1"/>
        <v>42210000</v>
      </c>
      <c r="J14">
        <f t="shared" si="2"/>
        <v>42.21</v>
      </c>
      <c r="K14" s="4">
        <v>-2.0299999999999999E-2</v>
      </c>
    </row>
    <row r="15" spans="2:20" x14ac:dyDescent="0.25">
      <c r="B15" s="190">
        <v>45788</v>
      </c>
      <c r="C15" s="191">
        <v>1456.4</v>
      </c>
      <c r="D15" s="191">
        <v>1400</v>
      </c>
      <c r="E15" s="191">
        <v>1461.4</v>
      </c>
      <c r="F15" s="191">
        <v>1400</v>
      </c>
      <c r="G15" t="s">
        <v>421</v>
      </c>
      <c r="H15" t="str">
        <f t="shared" si="0"/>
        <v>56.87</v>
      </c>
      <c r="I15">
        <f t="shared" si="1"/>
        <v>56870000</v>
      </c>
      <c r="J15">
        <f t="shared" si="2"/>
        <v>56.87</v>
      </c>
      <c r="K15" s="4">
        <v>5.7500000000000002E-2</v>
      </c>
    </row>
    <row r="16" spans="2:20" x14ac:dyDescent="0.25">
      <c r="B16" s="190">
        <v>45781</v>
      </c>
      <c r="C16" s="191">
        <v>1377.2</v>
      </c>
      <c r="D16" s="191">
        <v>1431</v>
      </c>
      <c r="E16" s="191">
        <v>1439.5</v>
      </c>
      <c r="F16" s="191">
        <v>1374.5</v>
      </c>
      <c r="G16" t="s">
        <v>422</v>
      </c>
      <c r="H16" t="str">
        <f t="shared" si="0"/>
        <v>69.99</v>
      </c>
      <c r="I16">
        <f t="shared" si="1"/>
        <v>69990000</v>
      </c>
      <c r="J16">
        <f t="shared" si="2"/>
        <v>69.989999999999995</v>
      </c>
      <c r="K16" s="4">
        <v>-3.1800000000000002E-2</v>
      </c>
    </row>
    <row r="17" spans="2:17" x14ac:dyDescent="0.25">
      <c r="B17" s="190">
        <v>45774</v>
      </c>
      <c r="C17" s="191">
        <v>1422.4</v>
      </c>
      <c r="D17" s="191">
        <v>1340</v>
      </c>
      <c r="E17" s="191">
        <v>1426.7</v>
      </c>
      <c r="F17" s="191">
        <v>1320.2</v>
      </c>
      <c r="G17" t="s">
        <v>423</v>
      </c>
      <c r="H17" t="str">
        <f t="shared" si="0"/>
        <v>106.66</v>
      </c>
      <c r="I17">
        <f t="shared" si="1"/>
        <v>106660000</v>
      </c>
      <c r="J17">
        <f t="shared" si="2"/>
        <v>106.66</v>
      </c>
      <c r="K17" s="4">
        <v>9.3799999999999994E-2</v>
      </c>
      <c r="Q17">
        <f>11.14</f>
        <v>11.14</v>
      </c>
    </row>
    <row r="18" spans="2:17" x14ac:dyDescent="0.25">
      <c r="B18" s="190">
        <v>45767</v>
      </c>
      <c r="C18" s="191">
        <v>1300.4000000000001</v>
      </c>
      <c r="D18" s="191">
        <v>1270</v>
      </c>
      <c r="E18" s="191">
        <v>1325.2</v>
      </c>
      <c r="F18" s="191">
        <v>1267</v>
      </c>
      <c r="G18" t="s">
        <v>424</v>
      </c>
      <c r="H18" t="str">
        <f t="shared" si="0"/>
        <v>58.86</v>
      </c>
      <c r="I18">
        <f t="shared" si="1"/>
        <v>58860000</v>
      </c>
      <c r="J18">
        <f t="shared" si="2"/>
        <v>58.86</v>
      </c>
      <c r="K18" s="4">
        <v>2.0299999999999999E-2</v>
      </c>
      <c r="Q18">
        <v>8.2200000000000006</v>
      </c>
    </row>
    <row r="19" spans="2:17" x14ac:dyDescent="0.25">
      <c r="B19" s="190">
        <v>45760</v>
      </c>
      <c r="C19" s="191">
        <v>1274.5</v>
      </c>
      <c r="D19" s="191">
        <v>1251</v>
      </c>
      <c r="E19" s="191">
        <v>1280.2</v>
      </c>
      <c r="F19" s="191">
        <v>1227.5999999999999</v>
      </c>
      <c r="G19" t="s">
        <v>425</v>
      </c>
      <c r="H19" t="str">
        <f t="shared" si="0"/>
        <v>37.03</v>
      </c>
      <c r="I19">
        <f t="shared" si="1"/>
        <v>37030000</v>
      </c>
      <c r="J19">
        <f t="shared" si="2"/>
        <v>37.03</v>
      </c>
      <c r="K19" s="4">
        <v>4.5600000000000002E-2</v>
      </c>
      <c r="Q19">
        <v>8.2200000000000006</v>
      </c>
    </row>
    <row r="20" spans="2:17" x14ac:dyDescent="0.25">
      <c r="B20" s="190">
        <v>45753</v>
      </c>
      <c r="C20" s="191">
        <v>1218.95</v>
      </c>
      <c r="D20" s="191">
        <v>1132.2</v>
      </c>
      <c r="E20" s="191">
        <v>1222.6500000000001</v>
      </c>
      <c r="F20" s="191">
        <v>1114.8499999999999</v>
      </c>
      <c r="G20" t="s">
        <v>426</v>
      </c>
      <c r="H20" t="str">
        <f t="shared" si="0"/>
        <v>63.16</v>
      </c>
      <c r="I20">
        <f t="shared" si="1"/>
        <v>63160000</v>
      </c>
      <c r="J20">
        <f t="shared" si="2"/>
        <v>63.16</v>
      </c>
      <c r="K20" s="4">
        <v>1.18E-2</v>
      </c>
      <c r="Q20">
        <v>8.2200000000000006</v>
      </c>
    </row>
    <row r="21" spans="2:17" x14ac:dyDescent="0.25">
      <c r="B21" s="190">
        <v>45746</v>
      </c>
      <c r="C21" s="191">
        <v>1204.7</v>
      </c>
      <c r="D21" s="191">
        <v>1264.5999999999999</v>
      </c>
      <c r="E21" s="191">
        <v>1277.9000000000001</v>
      </c>
      <c r="F21" s="191">
        <v>1193.1500000000001</v>
      </c>
      <c r="G21" t="s">
        <v>427</v>
      </c>
      <c r="H21" t="str">
        <f t="shared" si="0"/>
        <v>47.59</v>
      </c>
      <c r="I21">
        <f t="shared" si="1"/>
        <v>47590000</v>
      </c>
      <c r="J21">
        <f t="shared" si="2"/>
        <v>47.59</v>
      </c>
      <c r="K21" s="4">
        <v>-5.5199999999999999E-2</v>
      </c>
      <c r="Q21">
        <v>6.93</v>
      </c>
    </row>
    <row r="22" spans="2:17" x14ac:dyDescent="0.25">
      <c r="B22" s="190">
        <v>45739</v>
      </c>
      <c r="C22" s="191">
        <v>1275.0999999999999</v>
      </c>
      <c r="D22" s="191">
        <v>1291</v>
      </c>
      <c r="E22" s="191">
        <v>1307.7</v>
      </c>
      <c r="F22" s="191">
        <v>1268.75</v>
      </c>
      <c r="G22" t="s">
        <v>428</v>
      </c>
      <c r="H22" t="str">
        <f t="shared" si="0"/>
        <v>79.26</v>
      </c>
      <c r="I22">
        <f t="shared" si="1"/>
        <v>79260000</v>
      </c>
      <c r="J22">
        <f t="shared" si="2"/>
        <v>79.260000000000005</v>
      </c>
      <c r="K22" s="4">
        <v>-1E-3</v>
      </c>
      <c r="Q22">
        <v>4.58</v>
      </c>
    </row>
    <row r="23" spans="2:17" x14ac:dyDescent="0.25">
      <c r="B23" s="190">
        <v>45732</v>
      </c>
      <c r="C23" s="191">
        <v>1276.3499999999999</v>
      </c>
      <c r="D23" s="191">
        <v>1242.1500000000001</v>
      </c>
      <c r="E23" s="191">
        <v>1281</v>
      </c>
      <c r="F23" s="191">
        <v>1233.0999999999999</v>
      </c>
      <c r="G23" t="s">
        <v>429</v>
      </c>
      <c r="H23" t="str">
        <f t="shared" si="0"/>
        <v>86.30</v>
      </c>
      <c r="I23">
        <f t="shared" si="1"/>
        <v>86300000</v>
      </c>
      <c r="J23">
        <f t="shared" si="2"/>
        <v>86.3</v>
      </c>
      <c r="K23" s="4">
        <v>2.2800000000000001E-2</v>
      </c>
      <c r="Q23">
        <v>3.63</v>
      </c>
    </row>
    <row r="24" spans="2:17" x14ac:dyDescent="0.25">
      <c r="B24" s="190">
        <v>45725</v>
      </c>
      <c r="C24" s="191">
        <v>1247.9000000000001</v>
      </c>
      <c r="D24" s="191">
        <v>1245</v>
      </c>
      <c r="E24" s="191">
        <v>1264.1500000000001</v>
      </c>
      <c r="F24" s="191">
        <v>1229.75</v>
      </c>
      <c r="G24" t="s">
        <v>430</v>
      </c>
      <c r="H24" t="str">
        <f t="shared" si="0"/>
        <v>43.50</v>
      </c>
      <c r="I24">
        <f t="shared" si="1"/>
        <v>43500000</v>
      </c>
      <c r="J24">
        <f t="shared" si="2"/>
        <v>43.5</v>
      </c>
      <c r="K24" s="4">
        <v>-1.5E-3</v>
      </c>
      <c r="Q24">
        <v>2.59</v>
      </c>
    </row>
    <row r="25" spans="2:17" x14ac:dyDescent="0.25">
      <c r="B25" s="190">
        <v>45718</v>
      </c>
      <c r="C25" s="191">
        <v>1249.8</v>
      </c>
      <c r="D25" s="191">
        <v>1204</v>
      </c>
      <c r="E25" s="191">
        <v>1254.8</v>
      </c>
      <c r="F25" s="191">
        <v>1156</v>
      </c>
      <c r="G25" t="s">
        <v>431</v>
      </c>
      <c r="H25" t="str">
        <f t="shared" si="0"/>
        <v>68.93</v>
      </c>
      <c r="I25">
        <f t="shared" si="1"/>
        <v>68930000</v>
      </c>
      <c r="J25">
        <f t="shared" si="2"/>
        <v>68.930000000000007</v>
      </c>
      <c r="K25" s="4">
        <v>4.1399999999999999E-2</v>
      </c>
      <c r="Q25">
        <v>2.54</v>
      </c>
    </row>
    <row r="26" spans="2:17" x14ac:dyDescent="0.25">
      <c r="B26" s="190">
        <v>45711</v>
      </c>
      <c r="C26" s="191">
        <v>1200.0999999999999</v>
      </c>
      <c r="D26" s="191">
        <v>1216.55</v>
      </c>
      <c r="E26" s="191">
        <v>1223.25</v>
      </c>
      <c r="F26" s="191">
        <v>1193.3</v>
      </c>
      <c r="G26" t="s">
        <v>432</v>
      </c>
      <c r="H26" t="str">
        <f t="shared" si="0"/>
        <v>53.24</v>
      </c>
      <c r="I26">
        <f t="shared" si="1"/>
        <v>53240000</v>
      </c>
      <c r="J26">
        <f t="shared" si="2"/>
        <v>53.24</v>
      </c>
      <c r="K26" s="4">
        <v>-2.2800000000000001E-2</v>
      </c>
      <c r="Q26">
        <v>1.88</v>
      </c>
    </row>
    <row r="27" spans="2:17" x14ac:dyDescent="0.25">
      <c r="B27" s="190">
        <v>45704</v>
      </c>
      <c r="C27" s="191">
        <v>1228.1500000000001</v>
      </c>
      <c r="D27" s="191">
        <v>1211.0999999999999</v>
      </c>
      <c r="E27" s="191">
        <v>1240</v>
      </c>
      <c r="F27" s="191">
        <v>1204.5</v>
      </c>
      <c r="G27" t="s">
        <v>433</v>
      </c>
      <c r="H27" t="str">
        <f t="shared" si="0"/>
        <v>35.76</v>
      </c>
      <c r="I27">
        <f t="shared" si="1"/>
        <v>35760000</v>
      </c>
      <c r="J27">
        <f t="shared" si="2"/>
        <v>35.76</v>
      </c>
      <c r="K27" s="4">
        <v>8.9999999999999993E-3</v>
      </c>
    </row>
    <row r="28" spans="2:17" x14ac:dyDescent="0.25">
      <c r="B28" s="190">
        <v>45697</v>
      </c>
      <c r="C28" s="191">
        <v>1217.25</v>
      </c>
      <c r="D28" s="191">
        <v>1264.5</v>
      </c>
      <c r="E28" s="191">
        <v>1266.5</v>
      </c>
      <c r="F28" s="191">
        <v>1193.3499999999999</v>
      </c>
      <c r="G28" t="s">
        <v>434</v>
      </c>
      <c r="H28" t="str">
        <f t="shared" si="0"/>
        <v>55.77</v>
      </c>
      <c r="I28">
        <f t="shared" si="1"/>
        <v>55770000</v>
      </c>
      <c r="J28">
        <f t="shared" si="2"/>
        <v>55.77</v>
      </c>
      <c r="K28" s="4">
        <v>-3.9E-2</v>
      </c>
      <c r="P28" t="s">
        <v>694</v>
      </c>
      <c r="Q28" s="4">
        <v>0.50070000000000003</v>
      </c>
    </row>
    <row r="29" spans="2:17" x14ac:dyDescent="0.25">
      <c r="B29" s="190">
        <v>45690</v>
      </c>
      <c r="C29" s="191">
        <v>1266.7</v>
      </c>
      <c r="D29" s="191">
        <v>1265.0999999999999</v>
      </c>
      <c r="E29" s="191">
        <v>1290.5</v>
      </c>
      <c r="F29" s="191">
        <v>1237.55</v>
      </c>
      <c r="G29" t="s">
        <v>435</v>
      </c>
      <c r="H29" t="str">
        <f t="shared" si="0"/>
        <v>61.89</v>
      </c>
      <c r="I29">
        <f t="shared" si="1"/>
        <v>61890000</v>
      </c>
      <c r="J29">
        <f t="shared" si="2"/>
        <v>61.89</v>
      </c>
      <c r="K29" s="4">
        <v>1.2999999999999999E-3</v>
      </c>
      <c r="P29" t="s">
        <v>695</v>
      </c>
      <c r="Q29" s="4">
        <v>0.19070000000000001</v>
      </c>
    </row>
    <row r="30" spans="2:17" x14ac:dyDescent="0.25">
      <c r="B30" s="190">
        <v>45683</v>
      </c>
      <c r="C30" s="191">
        <v>1265.0999999999999</v>
      </c>
      <c r="D30" s="191">
        <v>1239.0999999999999</v>
      </c>
      <c r="E30" s="191">
        <v>1267</v>
      </c>
      <c r="F30" s="191">
        <v>1218.5</v>
      </c>
      <c r="G30" t="s">
        <v>436</v>
      </c>
      <c r="H30" t="str">
        <f t="shared" si="0"/>
        <v>41.89</v>
      </c>
      <c r="I30">
        <f t="shared" si="1"/>
        <v>41890000</v>
      </c>
      <c r="J30">
        <f t="shared" si="2"/>
        <v>41.89</v>
      </c>
      <c r="K30" s="4">
        <v>1.5100000000000001E-2</v>
      </c>
      <c r="P30" t="s">
        <v>696</v>
      </c>
      <c r="Q30" s="4">
        <v>0.19722000000000001</v>
      </c>
    </row>
    <row r="31" spans="2:17" x14ac:dyDescent="0.25">
      <c r="B31" s="190">
        <v>45676</v>
      </c>
      <c r="C31" s="191">
        <v>1246.3</v>
      </c>
      <c r="D31" s="191">
        <v>1316</v>
      </c>
      <c r="E31" s="191">
        <v>1316</v>
      </c>
      <c r="F31" s="191">
        <v>1243.5</v>
      </c>
      <c r="G31" t="s">
        <v>437</v>
      </c>
      <c r="H31" t="str">
        <f t="shared" si="0"/>
        <v>61.83</v>
      </c>
      <c r="I31">
        <f t="shared" si="1"/>
        <v>61830000</v>
      </c>
      <c r="J31">
        <f t="shared" si="2"/>
        <v>61.83</v>
      </c>
      <c r="K31" s="4">
        <v>-4.2999999999999997E-2</v>
      </c>
      <c r="P31" t="s">
        <v>697</v>
      </c>
      <c r="Q31" s="4">
        <v>0.1084</v>
      </c>
    </row>
    <row r="32" spans="2:17" x14ac:dyDescent="0.25">
      <c r="B32" s="190">
        <v>45669</v>
      </c>
      <c r="C32" s="191">
        <v>1302.3499999999999</v>
      </c>
      <c r="D32" s="191">
        <v>1230</v>
      </c>
      <c r="E32" s="191">
        <v>1326</v>
      </c>
      <c r="F32" s="191">
        <v>1226.4000000000001</v>
      </c>
      <c r="G32" t="s">
        <v>438</v>
      </c>
      <c r="H32" t="str">
        <f t="shared" si="0"/>
        <v>79.92</v>
      </c>
      <c r="I32">
        <f t="shared" si="1"/>
        <v>79920000</v>
      </c>
      <c r="J32">
        <f t="shared" si="2"/>
        <v>79.92</v>
      </c>
      <c r="K32" s="4">
        <v>4.87E-2</v>
      </c>
    </row>
    <row r="33" spans="2:11" x14ac:dyDescent="0.25">
      <c r="B33" s="190">
        <v>45662</v>
      </c>
      <c r="C33" s="191">
        <v>1241.9000000000001</v>
      </c>
      <c r="D33" s="191">
        <v>1253.95</v>
      </c>
      <c r="E33" s="191">
        <v>1271.05</v>
      </c>
      <c r="F33" s="191">
        <v>1215</v>
      </c>
      <c r="G33" t="s">
        <v>439</v>
      </c>
      <c r="H33" t="str">
        <f t="shared" si="0"/>
        <v>65.15</v>
      </c>
      <c r="I33">
        <f t="shared" si="1"/>
        <v>65150000.000000007</v>
      </c>
      <c r="J33">
        <f t="shared" si="2"/>
        <v>65.150000000000006</v>
      </c>
      <c r="K33" s="4">
        <v>-7.4000000000000003E-3</v>
      </c>
    </row>
    <row r="34" spans="2:11" x14ac:dyDescent="0.25">
      <c r="B34" s="190">
        <v>45655</v>
      </c>
      <c r="C34" s="191">
        <v>1251.1500000000001</v>
      </c>
      <c r="D34" s="191">
        <v>1216.4000000000001</v>
      </c>
      <c r="E34" s="191">
        <v>1262.05</v>
      </c>
      <c r="F34" s="191">
        <v>1206.1500000000001</v>
      </c>
      <c r="G34" t="s">
        <v>440</v>
      </c>
      <c r="H34" t="str">
        <f t="shared" si="0"/>
        <v>52.12</v>
      </c>
      <c r="I34">
        <f t="shared" si="1"/>
        <v>52120000</v>
      </c>
      <c r="J34">
        <f t="shared" si="2"/>
        <v>52.12</v>
      </c>
      <c r="K34" s="4">
        <v>2.47E-2</v>
      </c>
    </row>
    <row r="35" spans="2:11" x14ac:dyDescent="0.25">
      <c r="B35" s="190">
        <v>45648</v>
      </c>
      <c r="C35" s="191">
        <v>1221.05</v>
      </c>
      <c r="D35" s="191">
        <v>1215</v>
      </c>
      <c r="E35" s="191">
        <v>1233.55</v>
      </c>
      <c r="F35" s="191">
        <v>1213.2</v>
      </c>
      <c r="G35" t="s">
        <v>441</v>
      </c>
      <c r="H35" t="str">
        <f t="shared" si="0"/>
        <v>33.80</v>
      </c>
      <c r="I35">
        <f t="shared" si="1"/>
        <v>33800000</v>
      </c>
      <c r="J35">
        <f t="shared" si="2"/>
        <v>33.799999999999997</v>
      </c>
      <c r="K35" s="4">
        <v>1.3100000000000001E-2</v>
      </c>
    </row>
    <row r="36" spans="2:11" x14ac:dyDescent="0.25">
      <c r="B36" s="190">
        <v>45641</v>
      </c>
      <c r="C36" s="191">
        <v>1205.3</v>
      </c>
      <c r="D36" s="191">
        <v>1275</v>
      </c>
      <c r="E36" s="191">
        <v>1281</v>
      </c>
      <c r="F36" s="191">
        <v>1201.5</v>
      </c>
      <c r="G36" t="s">
        <v>442</v>
      </c>
      <c r="H36" t="str">
        <f t="shared" si="0"/>
        <v>74.18</v>
      </c>
      <c r="I36">
        <f t="shared" si="1"/>
        <v>74180000</v>
      </c>
      <c r="J36">
        <f t="shared" si="2"/>
        <v>74.180000000000007</v>
      </c>
      <c r="K36" s="4">
        <v>-5.3100000000000001E-2</v>
      </c>
    </row>
    <row r="37" spans="2:11" x14ac:dyDescent="0.25">
      <c r="B37" s="190">
        <v>45634</v>
      </c>
      <c r="C37" s="191">
        <v>1272.8499999999999</v>
      </c>
      <c r="D37" s="191">
        <v>1303</v>
      </c>
      <c r="E37" s="191">
        <v>1315</v>
      </c>
      <c r="F37" s="191">
        <v>1239.5999999999999</v>
      </c>
      <c r="G37" t="s">
        <v>443</v>
      </c>
      <c r="H37" t="str">
        <f t="shared" si="0"/>
        <v>91.96</v>
      </c>
      <c r="I37">
        <f t="shared" si="1"/>
        <v>91960000</v>
      </c>
      <c r="J37">
        <f t="shared" si="2"/>
        <v>91.96</v>
      </c>
      <c r="K37" s="4">
        <v>-2.9499999999999998E-2</v>
      </c>
    </row>
    <row r="38" spans="2:11" x14ac:dyDescent="0.25">
      <c r="B38" s="190">
        <v>45627</v>
      </c>
      <c r="C38" s="191">
        <v>1311.55</v>
      </c>
      <c r="D38" s="191">
        <v>1288</v>
      </c>
      <c r="E38" s="191">
        <v>1329.95</v>
      </c>
      <c r="F38" s="191">
        <v>1277.05</v>
      </c>
      <c r="G38" t="s">
        <v>444</v>
      </c>
      <c r="H38" t="str">
        <f t="shared" si="0"/>
        <v>73.40</v>
      </c>
      <c r="I38">
        <f t="shared" si="1"/>
        <v>73400000</v>
      </c>
      <c r="J38">
        <f t="shared" si="2"/>
        <v>73.400000000000006</v>
      </c>
      <c r="K38" s="4">
        <v>1.4999999999999999E-2</v>
      </c>
    </row>
    <row r="39" spans="2:11" x14ac:dyDescent="0.25">
      <c r="B39" s="190">
        <v>45620</v>
      </c>
      <c r="C39" s="191">
        <v>1292.2</v>
      </c>
      <c r="D39" s="191">
        <v>1290</v>
      </c>
      <c r="E39" s="191">
        <v>1304.45</v>
      </c>
      <c r="F39" s="191">
        <v>1269.05</v>
      </c>
      <c r="G39" t="s">
        <v>445</v>
      </c>
      <c r="H39" t="str">
        <f t="shared" si="0"/>
        <v>75.97</v>
      </c>
      <c r="I39">
        <f t="shared" si="1"/>
        <v>75970000</v>
      </c>
      <c r="J39">
        <f t="shared" si="2"/>
        <v>75.97</v>
      </c>
      <c r="K39" s="4">
        <v>2.12E-2</v>
      </c>
    </row>
    <row r="40" spans="2:11" x14ac:dyDescent="0.25">
      <c r="B40" s="190">
        <v>45613</v>
      </c>
      <c r="C40" s="191">
        <v>1265.4000000000001</v>
      </c>
      <c r="D40" s="191">
        <v>1267.5999999999999</v>
      </c>
      <c r="E40" s="191">
        <v>1281.5</v>
      </c>
      <c r="F40" s="191">
        <v>1217.25</v>
      </c>
      <c r="G40" t="s">
        <v>446</v>
      </c>
      <c r="H40" t="str">
        <f t="shared" si="0"/>
        <v>67.71</v>
      </c>
      <c r="I40">
        <f t="shared" si="1"/>
        <v>67710000</v>
      </c>
      <c r="J40">
        <f t="shared" si="2"/>
        <v>67.709999999999994</v>
      </c>
      <c r="K40" s="4">
        <v>-1.6999999999999999E-3</v>
      </c>
    </row>
    <row r="41" spans="2:11" x14ac:dyDescent="0.25">
      <c r="B41" s="190">
        <v>45606</v>
      </c>
      <c r="C41" s="191">
        <v>1267.5999999999999</v>
      </c>
      <c r="D41" s="191">
        <v>1278.95</v>
      </c>
      <c r="E41" s="191">
        <v>1289.3</v>
      </c>
      <c r="F41" s="191">
        <v>1249.5</v>
      </c>
      <c r="G41" t="s">
        <v>447</v>
      </c>
      <c r="H41" t="str">
        <f t="shared" si="0"/>
        <v>46.97</v>
      </c>
      <c r="I41">
        <f t="shared" si="1"/>
        <v>46970000</v>
      </c>
      <c r="J41">
        <f t="shared" si="2"/>
        <v>46.97</v>
      </c>
      <c r="K41" s="4">
        <v>-1.26E-2</v>
      </c>
    </row>
    <row r="42" spans="2:11" x14ac:dyDescent="0.25">
      <c r="B42" s="190">
        <v>45599</v>
      </c>
      <c r="C42" s="191">
        <v>1283.75</v>
      </c>
      <c r="D42" s="191">
        <v>1337.85</v>
      </c>
      <c r="E42" s="191">
        <v>1340</v>
      </c>
      <c r="F42" s="191">
        <v>1275</v>
      </c>
      <c r="G42" t="s">
        <v>448</v>
      </c>
      <c r="H42" t="str">
        <f t="shared" si="0"/>
        <v>87.12</v>
      </c>
      <c r="I42">
        <f t="shared" si="1"/>
        <v>87120000</v>
      </c>
      <c r="J42">
        <f t="shared" si="2"/>
        <v>87.12</v>
      </c>
      <c r="K42" s="4">
        <v>-4.1000000000000002E-2</v>
      </c>
    </row>
    <row r="43" spans="2:11" x14ac:dyDescent="0.25">
      <c r="B43" s="190">
        <v>45592</v>
      </c>
      <c r="C43" s="191">
        <v>1338.65</v>
      </c>
      <c r="D43" s="191">
        <v>1337</v>
      </c>
      <c r="E43" s="191">
        <v>1353</v>
      </c>
      <c r="F43" s="191">
        <v>1320.3</v>
      </c>
      <c r="G43" t="s">
        <v>449</v>
      </c>
      <c r="H43" t="str">
        <f t="shared" si="0"/>
        <v>46.28</v>
      </c>
      <c r="I43">
        <f t="shared" si="1"/>
        <v>46280000</v>
      </c>
      <c r="J43">
        <f t="shared" si="2"/>
        <v>46.28</v>
      </c>
      <c r="K43" s="4">
        <v>8.0999999999999996E-3</v>
      </c>
    </row>
    <row r="44" spans="2:11" x14ac:dyDescent="0.25">
      <c r="B44" s="190">
        <v>45585</v>
      </c>
      <c r="C44" s="191">
        <v>1327.85</v>
      </c>
      <c r="D44" s="191">
        <v>1367.13</v>
      </c>
      <c r="E44" s="191">
        <v>1376</v>
      </c>
      <c r="F44" s="191">
        <v>1322</v>
      </c>
      <c r="G44" t="s">
        <v>450</v>
      </c>
      <c r="H44" t="str">
        <f t="shared" si="0"/>
        <v>87.87</v>
      </c>
      <c r="I44">
        <f t="shared" si="1"/>
        <v>87870000</v>
      </c>
      <c r="J44">
        <f t="shared" si="2"/>
        <v>87.87</v>
      </c>
      <c r="K44" s="4">
        <v>-2.3099999999999999E-2</v>
      </c>
    </row>
    <row r="45" spans="2:11" x14ac:dyDescent="0.25">
      <c r="B45" s="190">
        <v>45578</v>
      </c>
      <c r="C45" s="191">
        <v>1359.3</v>
      </c>
      <c r="D45" s="191">
        <v>1379.45</v>
      </c>
      <c r="E45" s="191">
        <v>1380.07</v>
      </c>
      <c r="F45" s="191">
        <v>1337.63</v>
      </c>
      <c r="G45" t="s">
        <v>451</v>
      </c>
      <c r="H45" t="str">
        <f t="shared" si="0"/>
        <v>93.65</v>
      </c>
      <c r="I45">
        <f t="shared" si="1"/>
        <v>93650000</v>
      </c>
      <c r="J45">
        <f t="shared" si="2"/>
        <v>93.65</v>
      </c>
      <c r="K45" s="4">
        <v>-9.2999999999999992E-3</v>
      </c>
    </row>
    <row r="46" spans="2:11" x14ac:dyDescent="0.25">
      <c r="B46" s="190">
        <v>45571</v>
      </c>
      <c r="C46" s="191">
        <v>1372.1</v>
      </c>
      <c r="D46" s="191">
        <v>1393.5</v>
      </c>
      <c r="E46" s="191">
        <v>1401</v>
      </c>
      <c r="F46" s="191">
        <v>1361.38</v>
      </c>
      <c r="G46" t="s">
        <v>452</v>
      </c>
      <c r="H46" t="str">
        <f t="shared" si="0"/>
        <v>83.85</v>
      </c>
      <c r="I46">
        <f t="shared" si="1"/>
        <v>83850000</v>
      </c>
      <c r="J46">
        <f t="shared" si="2"/>
        <v>83.85</v>
      </c>
      <c r="K46" s="4">
        <v>-1.04E-2</v>
      </c>
    </row>
    <row r="47" spans="2:11" x14ac:dyDescent="0.25">
      <c r="B47" s="190">
        <v>45564</v>
      </c>
      <c r="C47" s="191">
        <v>1386.53</v>
      </c>
      <c r="D47" s="191">
        <v>1519.4</v>
      </c>
      <c r="E47" s="191">
        <v>1524.97</v>
      </c>
      <c r="F47" s="191">
        <v>1381.78</v>
      </c>
      <c r="G47" t="s">
        <v>453</v>
      </c>
      <c r="H47" t="str">
        <f t="shared" si="0"/>
        <v>118.27</v>
      </c>
      <c r="I47">
        <f t="shared" si="1"/>
        <v>118270000</v>
      </c>
      <c r="J47">
        <f t="shared" si="2"/>
        <v>118.27</v>
      </c>
      <c r="K47" s="4">
        <v>-9.1499999999999998E-2</v>
      </c>
    </row>
    <row r="48" spans="2:11" x14ac:dyDescent="0.25">
      <c r="B48" s="190">
        <v>45557</v>
      </c>
      <c r="C48" s="191">
        <v>1526.18</v>
      </c>
      <c r="D48" s="191">
        <v>1491</v>
      </c>
      <c r="E48" s="191">
        <v>1533.47</v>
      </c>
      <c r="F48" s="191">
        <v>1480.2</v>
      </c>
      <c r="G48" t="s">
        <v>454</v>
      </c>
      <c r="H48" t="str">
        <f t="shared" si="0"/>
        <v>72.46</v>
      </c>
      <c r="I48">
        <f t="shared" si="1"/>
        <v>72460000</v>
      </c>
      <c r="J48">
        <f t="shared" si="2"/>
        <v>72.459999999999994</v>
      </c>
      <c r="K48" s="4">
        <v>2.7099999999999999E-2</v>
      </c>
    </row>
    <row r="49" spans="2:11" x14ac:dyDescent="0.25">
      <c r="B49" s="190">
        <v>45550</v>
      </c>
      <c r="C49" s="191">
        <v>1485.93</v>
      </c>
      <c r="D49" s="191">
        <v>1477.55</v>
      </c>
      <c r="E49" s="191">
        <v>1495</v>
      </c>
      <c r="F49" s="191">
        <v>1455.55</v>
      </c>
      <c r="G49" t="s">
        <v>455</v>
      </c>
      <c r="H49" t="str">
        <f t="shared" si="0"/>
        <v>67.85</v>
      </c>
      <c r="I49">
        <f t="shared" si="1"/>
        <v>67850000</v>
      </c>
      <c r="J49">
        <f t="shared" si="2"/>
        <v>67.849999999999994</v>
      </c>
      <c r="K49" s="4">
        <v>8.9999999999999993E-3</v>
      </c>
    </row>
    <row r="50" spans="2:11" x14ac:dyDescent="0.25">
      <c r="B50" s="190">
        <v>45543</v>
      </c>
      <c r="C50" s="191">
        <v>1472.63</v>
      </c>
      <c r="D50" s="191">
        <v>1466.5</v>
      </c>
      <c r="E50" s="191">
        <v>1486</v>
      </c>
      <c r="F50" s="191">
        <v>1445.88</v>
      </c>
      <c r="G50" t="s">
        <v>456</v>
      </c>
      <c r="H50" t="str">
        <f t="shared" si="0"/>
        <v>60.60</v>
      </c>
      <c r="I50">
        <f t="shared" si="1"/>
        <v>60600000</v>
      </c>
      <c r="J50">
        <f t="shared" si="2"/>
        <v>60.6</v>
      </c>
      <c r="K50" s="4">
        <v>5.3E-3</v>
      </c>
    </row>
    <row r="51" spans="2:11" x14ac:dyDescent="0.25">
      <c r="B51" s="190">
        <v>45536</v>
      </c>
      <c r="C51" s="191">
        <v>1464.82</v>
      </c>
      <c r="D51" s="191">
        <v>1510.88</v>
      </c>
      <c r="E51" s="191">
        <v>1526.8</v>
      </c>
      <c r="F51" s="191">
        <v>1461.63</v>
      </c>
      <c r="G51" t="s">
        <v>457</v>
      </c>
      <c r="H51" t="str">
        <f t="shared" si="0"/>
        <v>69.81</v>
      </c>
      <c r="I51">
        <f t="shared" si="1"/>
        <v>69810000</v>
      </c>
      <c r="J51">
        <f t="shared" si="2"/>
        <v>69.81</v>
      </c>
      <c r="K51" s="4">
        <v>-2.9700000000000001E-2</v>
      </c>
    </row>
    <row r="52" spans="2:11" x14ac:dyDescent="0.25">
      <c r="B52" s="190">
        <v>45529</v>
      </c>
      <c r="C52" s="191">
        <v>1509.63</v>
      </c>
      <c r="D52" s="191">
        <v>1506.97</v>
      </c>
      <c r="E52" s="191">
        <v>1539.72</v>
      </c>
      <c r="F52" s="191">
        <v>1493</v>
      </c>
      <c r="G52" t="s">
        <v>458</v>
      </c>
      <c r="H52" t="str">
        <f t="shared" si="0"/>
        <v>104.63</v>
      </c>
      <c r="I52">
        <f t="shared" si="1"/>
        <v>104630000</v>
      </c>
      <c r="J52">
        <f t="shared" si="2"/>
        <v>104.63</v>
      </c>
      <c r="K52" s="4">
        <v>6.4000000000000003E-3</v>
      </c>
    </row>
    <row r="53" spans="2:11" x14ac:dyDescent="0.25">
      <c r="B53" s="190">
        <v>45522</v>
      </c>
      <c r="C53" s="191">
        <v>1499.97</v>
      </c>
      <c r="D53" s="191">
        <v>1482.5</v>
      </c>
      <c r="E53" s="191">
        <v>1511.32</v>
      </c>
      <c r="F53" s="191">
        <v>1480.5</v>
      </c>
      <c r="G53" t="s">
        <v>459</v>
      </c>
      <c r="H53" t="str">
        <f t="shared" si="0"/>
        <v>49.68</v>
      </c>
      <c r="I53">
        <f t="shared" si="1"/>
        <v>49680000</v>
      </c>
      <c r="J53">
        <f t="shared" si="2"/>
        <v>49.68</v>
      </c>
      <c r="K53" s="4">
        <v>1.47E-2</v>
      </c>
    </row>
    <row r="54" spans="2:11" x14ac:dyDescent="0.25">
      <c r="B54" s="190">
        <v>45515</v>
      </c>
      <c r="C54" s="191">
        <v>1478.2</v>
      </c>
      <c r="D54" s="191">
        <v>1470</v>
      </c>
      <c r="E54" s="191">
        <v>1480.4</v>
      </c>
      <c r="F54" s="191">
        <v>1453.7</v>
      </c>
      <c r="G54" t="s">
        <v>460</v>
      </c>
      <c r="H54" t="str">
        <f t="shared" si="0"/>
        <v>30.13</v>
      </c>
      <c r="I54">
        <f t="shared" si="1"/>
        <v>30130000</v>
      </c>
      <c r="J54">
        <f t="shared" si="2"/>
        <v>30.13</v>
      </c>
      <c r="K54" s="4">
        <v>2.5999999999999999E-3</v>
      </c>
    </row>
    <row r="55" spans="2:11" x14ac:dyDescent="0.25">
      <c r="B55" s="190">
        <v>45508</v>
      </c>
      <c r="C55" s="191">
        <v>1474.3</v>
      </c>
      <c r="D55" s="191">
        <v>1480</v>
      </c>
      <c r="E55" s="191">
        <v>1483.9</v>
      </c>
      <c r="F55" s="191">
        <v>1433.25</v>
      </c>
      <c r="G55" t="s">
        <v>461</v>
      </c>
      <c r="H55" t="str">
        <f t="shared" si="0"/>
        <v>54.09</v>
      </c>
      <c r="I55">
        <f t="shared" si="1"/>
        <v>54090000</v>
      </c>
      <c r="J55">
        <f t="shared" si="2"/>
        <v>54.09</v>
      </c>
      <c r="K55" s="4">
        <v>-1.67E-2</v>
      </c>
    </row>
    <row r="56" spans="2:11" x14ac:dyDescent="0.25">
      <c r="B56" s="190">
        <v>45501</v>
      </c>
      <c r="C56" s="191">
        <v>1499.32</v>
      </c>
      <c r="D56" s="191">
        <v>1511.95</v>
      </c>
      <c r="E56" s="191">
        <v>1527.5</v>
      </c>
      <c r="F56" s="191">
        <v>1493.28</v>
      </c>
      <c r="G56" t="s">
        <v>462</v>
      </c>
      <c r="H56" t="str">
        <f t="shared" si="0"/>
        <v>46.86</v>
      </c>
      <c r="I56">
        <f t="shared" si="1"/>
        <v>46860000</v>
      </c>
      <c r="J56">
        <f t="shared" si="2"/>
        <v>46.86</v>
      </c>
      <c r="K56" s="4">
        <v>-6.4000000000000003E-3</v>
      </c>
    </row>
    <row r="57" spans="2:11" x14ac:dyDescent="0.25">
      <c r="B57" s="190">
        <v>45494</v>
      </c>
      <c r="C57" s="191">
        <v>1509.03</v>
      </c>
      <c r="D57" s="191">
        <v>1537.25</v>
      </c>
      <c r="E57" s="191">
        <v>1537.5</v>
      </c>
      <c r="F57" s="191">
        <v>1463</v>
      </c>
      <c r="G57" t="s">
        <v>463</v>
      </c>
      <c r="H57" t="str">
        <f t="shared" si="0"/>
        <v>72.02</v>
      </c>
      <c r="I57">
        <f t="shared" si="1"/>
        <v>72020000</v>
      </c>
      <c r="J57">
        <f t="shared" si="2"/>
        <v>72.02</v>
      </c>
      <c r="K57" s="4">
        <v>-2.9700000000000001E-2</v>
      </c>
    </row>
    <row r="58" spans="2:11" x14ac:dyDescent="0.25">
      <c r="B58" s="190">
        <v>45487</v>
      </c>
      <c r="C58" s="191">
        <v>1555.15</v>
      </c>
      <c r="D58" s="191">
        <v>1604.45</v>
      </c>
      <c r="E58" s="191">
        <v>1605.85</v>
      </c>
      <c r="F58" s="191">
        <v>1552.8</v>
      </c>
      <c r="G58" t="s">
        <v>464</v>
      </c>
      <c r="H58" t="str">
        <f t="shared" si="0"/>
        <v>40.16</v>
      </c>
      <c r="I58">
        <f t="shared" si="1"/>
        <v>40160000</v>
      </c>
      <c r="J58">
        <f t="shared" si="2"/>
        <v>40.159999999999997</v>
      </c>
      <c r="K58" s="4">
        <v>-2.5999999999999999E-2</v>
      </c>
    </row>
    <row r="59" spans="2:11" x14ac:dyDescent="0.25">
      <c r="B59" s="190">
        <v>45480</v>
      </c>
      <c r="C59" s="191">
        <v>1596.72</v>
      </c>
      <c r="D59" s="191">
        <v>1589</v>
      </c>
      <c r="E59" s="191">
        <v>1608.8</v>
      </c>
      <c r="F59" s="191">
        <v>1563.15</v>
      </c>
      <c r="G59" t="s">
        <v>465</v>
      </c>
      <c r="H59" t="str">
        <f t="shared" si="0"/>
        <v>48.46</v>
      </c>
      <c r="I59">
        <f t="shared" si="1"/>
        <v>48460000</v>
      </c>
      <c r="J59">
        <f t="shared" si="2"/>
        <v>48.46</v>
      </c>
      <c r="K59" s="4">
        <v>5.1000000000000004E-3</v>
      </c>
    </row>
    <row r="60" spans="2:11" x14ac:dyDescent="0.25">
      <c r="B60" s="190">
        <v>45473</v>
      </c>
      <c r="C60" s="191">
        <v>1588.63</v>
      </c>
      <c r="D60" s="191">
        <v>1562.53</v>
      </c>
      <c r="E60" s="191">
        <v>1598.5</v>
      </c>
      <c r="F60" s="191">
        <v>1542.78</v>
      </c>
      <c r="G60" t="s">
        <v>466</v>
      </c>
      <c r="H60" t="str">
        <f t="shared" si="0"/>
        <v>43.63</v>
      </c>
      <c r="I60">
        <f t="shared" si="1"/>
        <v>43630000</v>
      </c>
      <c r="J60">
        <f t="shared" si="2"/>
        <v>43.63</v>
      </c>
      <c r="K60" s="4">
        <v>1.4800000000000001E-2</v>
      </c>
    </row>
    <row r="61" spans="2:11" x14ac:dyDescent="0.25">
      <c r="B61" s="190">
        <v>45466</v>
      </c>
      <c r="C61" s="191">
        <v>1565.4</v>
      </c>
      <c r="D61" s="191">
        <v>1445.53</v>
      </c>
      <c r="E61" s="191">
        <v>1581</v>
      </c>
      <c r="F61" s="191">
        <v>1437.5</v>
      </c>
      <c r="G61" t="s">
        <v>467</v>
      </c>
      <c r="H61" t="str">
        <f t="shared" si="0"/>
        <v>95.28</v>
      </c>
      <c r="I61">
        <f t="shared" si="1"/>
        <v>95280000</v>
      </c>
      <c r="J61">
        <f t="shared" si="2"/>
        <v>95.28</v>
      </c>
      <c r="K61" s="4">
        <v>7.6499999999999999E-2</v>
      </c>
    </row>
    <row r="62" spans="2:11" x14ac:dyDescent="0.25">
      <c r="B62" s="190">
        <v>45459</v>
      </c>
      <c r="C62" s="191">
        <v>1454.2</v>
      </c>
      <c r="D62" s="191">
        <v>1487.35</v>
      </c>
      <c r="E62" s="191">
        <v>1487.5</v>
      </c>
      <c r="F62" s="191">
        <v>1440.57</v>
      </c>
      <c r="G62" t="s">
        <v>468</v>
      </c>
      <c r="H62" t="str">
        <f t="shared" si="0"/>
        <v>63.21</v>
      </c>
      <c r="I62">
        <f t="shared" si="1"/>
        <v>63210000</v>
      </c>
      <c r="J62">
        <f t="shared" si="2"/>
        <v>63.21</v>
      </c>
      <c r="K62" s="4">
        <v>-1.5800000000000002E-2</v>
      </c>
    </row>
    <row r="63" spans="2:11" x14ac:dyDescent="0.25">
      <c r="B63" s="190">
        <v>45452</v>
      </c>
      <c r="C63" s="191">
        <v>1477.55</v>
      </c>
      <c r="D63" s="191">
        <v>1469.95</v>
      </c>
      <c r="E63" s="191">
        <v>1493.35</v>
      </c>
      <c r="F63" s="191">
        <v>1454.68</v>
      </c>
      <c r="G63" t="s">
        <v>469</v>
      </c>
      <c r="H63" t="str">
        <f t="shared" si="0"/>
        <v>48.45</v>
      </c>
      <c r="I63">
        <f t="shared" si="1"/>
        <v>48450000</v>
      </c>
      <c r="J63">
        <f t="shared" si="2"/>
        <v>48.45</v>
      </c>
      <c r="K63" s="4">
        <v>5.1999999999999998E-3</v>
      </c>
    </row>
    <row r="64" spans="2:11" x14ac:dyDescent="0.25">
      <c r="B64" s="190">
        <v>45445</v>
      </c>
      <c r="C64" s="191">
        <v>1469.95</v>
      </c>
      <c r="D64" s="191">
        <v>1483</v>
      </c>
      <c r="E64" s="191">
        <v>1514.5</v>
      </c>
      <c r="F64" s="191">
        <v>1359.3</v>
      </c>
      <c r="G64" t="s">
        <v>470</v>
      </c>
      <c r="H64" t="str">
        <f t="shared" si="0"/>
        <v>112.12</v>
      </c>
      <c r="I64">
        <f t="shared" si="1"/>
        <v>112120000</v>
      </c>
      <c r="J64">
        <f t="shared" si="2"/>
        <v>112.12</v>
      </c>
      <c r="K64" s="4">
        <v>2.76E-2</v>
      </c>
    </row>
    <row r="65" spans="2:11" x14ac:dyDescent="0.25">
      <c r="B65" s="190">
        <v>45438</v>
      </c>
      <c r="C65" s="191">
        <v>1430.4</v>
      </c>
      <c r="D65" s="191">
        <v>1480.22</v>
      </c>
      <c r="E65" s="191">
        <v>1484.9</v>
      </c>
      <c r="F65" s="191">
        <v>1420.1</v>
      </c>
      <c r="G65" t="s">
        <v>471</v>
      </c>
      <c r="H65" t="str">
        <f t="shared" si="0"/>
        <v>66.11</v>
      </c>
      <c r="I65">
        <f t="shared" si="1"/>
        <v>66110000</v>
      </c>
      <c r="J65">
        <f t="shared" si="2"/>
        <v>66.11</v>
      </c>
      <c r="K65" s="4">
        <v>-3.3700000000000001E-2</v>
      </c>
    </row>
    <row r="66" spans="2:11" x14ac:dyDescent="0.25">
      <c r="B66" s="190">
        <v>45431</v>
      </c>
      <c r="C66" s="191">
        <v>1480.25</v>
      </c>
      <c r="D66" s="191">
        <v>1437.5</v>
      </c>
      <c r="E66" s="191">
        <v>1492.22</v>
      </c>
      <c r="F66" s="191">
        <v>1425.6</v>
      </c>
      <c r="G66" t="s">
        <v>472</v>
      </c>
      <c r="H66" t="str">
        <f t="shared" si="0"/>
        <v>43.59</v>
      </c>
      <c r="I66">
        <f t="shared" si="1"/>
        <v>43590000</v>
      </c>
      <c r="J66">
        <f t="shared" si="2"/>
        <v>43.59</v>
      </c>
      <c r="K66" s="4">
        <v>3.1E-2</v>
      </c>
    </row>
    <row r="67" spans="2:11" x14ac:dyDescent="0.25">
      <c r="B67" s="190">
        <v>45424</v>
      </c>
      <c r="C67" s="191">
        <v>1435.7</v>
      </c>
      <c r="D67" s="191">
        <v>1399.9</v>
      </c>
      <c r="E67" s="191">
        <v>1437.2</v>
      </c>
      <c r="F67" s="191">
        <v>1384</v>
      </c>
      <c r="G67" t="s">
        <v>473</v>
      </c>
      <c r="H67" t="str">
        <f t="shared" si="0"/>
        <v>46.32</v>
      </c>
      <c r="I67">
        <f t="shared" si="1"/>
        <v>46320000</v>
      </c>
      <c r="J67">
        <f t="shared" si="2"/>
        <v>46.32</v>
      </c>
      <c r="K67" s="4">
        <v>2.01E-2</v>
      </c>
    </row>
    <row r="68" spans="2:11" x14ac:dyDescent="0.25">
      <c r="B68" s="190">
        <v>45417</v>
      </c>
      <c r="C68" s="191">
        <v>1407.43</v>
      </c>
      <c r="D68" s="191">
        <v>1435.5</v>
      </c>
      <c r="E68" s="191">
        <v>1440</v>
      </c>
      <c r="F68" s="191">
        <v>1388.07</v>
      </c>
      <c r="G68" t="s">
        <v>474</v>
      </c>
      <c r="H68" t="str">
        <f t="shared" ref="H68:H131" si="5">LEFT(G68,LEN(G68)-1)</f>
        <v>52.87</v>
      </c>
      <c r="I68">
        <f t="shared" ref="I68:I131" si="6">H68*1000000</f>
        <v>52870000</v>
      </c>
      <c r="J68">
        <f t="shared" ref="J68:J131" si="7">I68/1000000</f>
        <v>52.87</v>
      </c>
      <c r="K68" s="4">
        <v>-1.8499999999999999E-2</v>
      </c>
    </row>
    <row r="69" spans="2:11" x14ac:dyDescent="0.25">
      <c r="B69" s="190">
        <v>45410</v>
      </c>
      <c r="C69" s="191">
        <v>1434</v>
      </c>
      <c r="D69" s="191">
        <v>1450</v>
      </c>
      <c r="E69" s="191">
        <v>1483.07</v>
      </c>
      <c r="F69" s="191">
        <v>1416.15</v>
      </c>
      <c r="G69" t="s">
        <v>475</v>
      </c>
      <c r="H69" t="str">
        <f t="shared" si="5"/>
        <v>50.46</v>
      </c>
      <c r="I69">
        <f t="shared" si="6"/>
        <v>50460000</v>
      </c>
      <c r="J69">
        <f t="shared" si="7"/>
        <v>50.46</v>
      </c>
      <c r="K69" s="4">
        <v>-1.2800000000000001E-2</v>
      </c>
    </row>
    <row r="70" spans="2:11" x14ac:dyDescent="0.25">
      <c r="B70" s="190">
        <v>45403</v>
      </c>
      <c r="C70" s="191">
        <v>1452.55</v>
      </c>
      <c r="D70" s="191">
        <v>1472.45</v>
      </c>
      <c r="E70" s="191">
        <v>1493.5</v>
      </c>
      <c r="F70" s="191">
        <v>1441.5</v>
      </c>
      <c r="G70" t="s">
        <v>476</v>
      </c>
      <c r="H70" t="str">
        <f t="shared" si="5"/>
        <v>60.78</v>
      </c>
      <c r="I70">
        <f t="shared" si="6"/>
        <v>60780000</v>
      </c>
      <c r="J70">
        <f t="shared" si="7"/>
        <v>60.78</v>
      </c>
      <c r="K70" s="4">
        <v>-1.2E-2</v>
      </c>
    </row>
    <row r="71" spans="2:11" x14ac:dyDescent="0.25">
      <c r="B71" s="190">
        <v>45396</v>
      </c>
      <c r="C71" s="191">
        <v>1470.13</v>
      </c>
      <c r="D71" s="191">
        <v>1461</v>
      </c>
      <c r="E71" s="191">
        <v>1486</v>
      </c>
      <c r="F71" s="191">
        <v>1443.03</v>
      </c>
      <c r="G71" t="s">
        <v>477</v>
      </c>
      <c r="H71" t="str">
        <f t="shared" si="5"/>
        <v>57.02</v>
      </c>
      <c r="I71">
        <f t="shared" si="6"/>
        <v>57020000</v>
      </c>
      <c r="J71">
        <f t="shared" si="7"/>
        <v>57.02</v>
      </c>
      <c r="K71" s="4">
        <v>2E-3</v>
      </c>
    </row>
    <row r="72" spans="2:11" x14ac:dyDescent="0.25">
      <c r="B72" s="190">
        <v>45389</v>
      </c>
      <c r="C72" s="191">
        <v>1467.15</v>
      </c>
      <c r="D72" s="191">
        <v>1462.97</v>
      </c>
      <c r="E72" s="191">
        <v>1490.97</v>
      </c>
      <c r="F72" s="191">
        <v>1461</v>
      </c>
      <c r="G72" t="s">
        <v>478</v>
      </c>
      <c r="H72" t="str">
        <f t="shared" si="5"/>
        <v>40.12</v>
      </c>
      <c r="I72">
        <f t="shared" si="6"/>
        <v>40120000</v>
      </c>
      <c r="J72">
        <f t="shared" si="7"/>
        <v>40.119999999999997</v>
      </c>
      <c r="K72" s="4">
        <v>4.7999999999999996E-3</v>
      </c>
    </row>
    <row r="73" spans="2:11" x14ac:dyDescent="0.25">
      <c r="B73" s="190">
        <v>45382</v>
      </c>
      <c r="C73" s="191">
        <v>1460.1</v>
      </c>
      <c r="D73" s="191">
        <v>1492.47</v>
      </c>
      <c r="E73" s="191">
        <v>1494</v>
      </c>
      <c r="F73" s="191">
        <v>1450</v>
      </c>
      <c r="G73" t="s">
        <v>479</v>
      </c>
      <c r="H73" t="str">
        <f t="shared" si="5"/>
        <v>42.87</v>
      </c>
      <c r="I73">
        <f t="shared" si="6"/>
        <v>42870000</v>
      </c>
      <c r="J73">
        <f t="shared" si="7"/>
        <v>42.87</v>
      </c>
      <c r="K73" s="4">
        <v>-1.7299999999999999E-2</v>
      </c>
    </row>
    <row r="74" spans="2:11" x14ac:dyDescent="0.25">
      <c r="B74" s="190">
        <v>45375</v>
      </c>
      <c r="C74" s="191">
        <v>1485.85</v>
      </c>
      <c r="D74" s="191">
        <v>1445</v>
      </c>
      <c r="E74" s="191">
        <v>1505.95</v>
      </c>
      <c r="F74" s="191">
        <v>1439</v>
      </c>
      <c r="G74" t="s">
        <v>480</v>
      </c>
      <c r="H74" t="str">
        <f t="shared" si="5"/>
        <v>49.60</v>
      </c>
      <c r="I74">
        <f t="shared" si="6"/>
        <v>49600000</v>
      </c>
      <c r="J74">
        <f t="shared" si="7"/>
        <v>49.6</v>
      </c>
      <c r="K74" s="4">
        <v>2.12E-2</v>
      </c>
    </row>
    <row r="75" spans="2:11" x14ac:dyDescent="0.25">
      <c r="B75" s="190">
        <v>45368</v>
      </c>
      <c r="C75" s="191">
        <v>1455.03</v>
      </c>
      <c r="D75" s="191">
        <v>1420</v>
      </c>
      <c r="E75" s="191">
        <v>1460</v>
      </c>
      <c r="F75" s="191">
        <v>1416.53</v>
      </c>
      <c r="G75" t="s">
        <v>481</v>
      </c>
      <c r="H75" t="str">
        <f t="shared" si="5"/>
        <v>58.47</v>
      </c>
      <c r="I75">
        <f t="shared" si="6"/>
        <v>58470000</v>
      </c>
      <c r="J75">
        <f t="shared" si="7"/>
        <v>58.47</v>
      </c>
      <c r="K75" s="4">
        <v>2.5899999999999999E-2</v>
      </c>
    </row>
    <row r="76" spans="2:11" x14ac:dyDescent="0.25">
      <c r="B76" s="190">
        <v>45361</v>
      </c>
      <c r="C76" s="191">
        <v>1418.22</v>
      </c>
      <c r="D76" s="191">
        <v>1489</v>
      </c>
      <c r="E76" s="191">
        <v>1489</v>
      </c>
      <c r="F76" s="191">
        <v>1412.9</v>
      </c>
      <c r="G76" t="s">
        <v>482</v>
      </c>
      <c r="H76" t="str">
        <f t="shared" si="5"/>
        <v>72.03</v>
      </c>
      <c r="I76">
        <f t="shared" si="6"/>
        <v>72030000</v>
      </c>
      <c r="J76">
        <f t="shared" si="7"/>
        <v>72.03</v>
      </c>
      <c r="K76" s="4">
        <v>-4.1000000000000002E-2</v>
      </c>
    </row>
    <row r="77" spans="2:11" x14ac:dyDescent="0.25">
      <c r="B77" s="190">
        <v>45354</v>
      </c>
      <c r="C77" s="191">
        <v>1478.93</v>
      </c>
      <c r="D77" s="191">
        <v>1492</v>
      </c>
      <c r="E77" s="191">
        <v>1512.45</v>
      </c>
      <c r="F77" s="191">
        <v>1475.55</v>
      </c>
      <c r="G77" t="s">
        <v>483</v>
      </c>
      <c r="H77" t="str">
        <f t="shared" si="5"/>
        <v>33.97</v>
      </c>
      <c r="I77">
        <f t="shared" si="6"/>
        <v>33970000</v>
      </c>
      <c r="J77">
        <f t="shared" si="7"/>
        <v>33.97</v>
      </c>
      <c r="K77" s="4">
        <v>-8.8000000000000005E-3</v>
      </c>
    </row>
    <row r="78" spans="2:11" x14ac:dyDescent="0.25">
      <c r="B78" s="190">
        <v>45347</v>
      </c>
      <c r="C78" s="191">
        <v>1492.13</v>
      </c>
      <c r="D78" s="191">
        <v>1493.55</v>
      </c>
      <c r="E78" s="191">
        <v>1500</v>
      </c>
      <c r="F78" s="191">
        <v>1450.18</v>
      </c>
      <c r="G78" t="s">
        <v>484</v>
      </c>
      <c r="H78" t="str">
        <f t="shared" si="5"/>
        <v>62.75</v>
      </c>
      <c r="I78">
        <f t="shared" si="6"/>
        <v>62750000</v>
      </c>
      <c r="J78">
        <f t="shared" si="7"/>
        <v>62.75</v>
      </c>
      <c r="K78" s="4">
        <v>-1E-3</v>
      </c>
    </row>
    <row r="79" spans="2:11" x14ac:dyDescent="0.25">
      <c r="B79" s="190">
        <v>45340</v>
      </c>
      <c r="C79" s="191">
        <v>1493.63</v>
      </c>
      <c r="D79" s="191">
        <v>1462.05</v>
      </c>
      <c r="E79" s="191">
        <v>1497.55</v>
      </c>
      <c r="F79" s="191">
        <v>1453.53</v>
      </c>
      <c r="G79" t="s">
        <v>485</v>
      </c>
      <c r="H79" t="str">
        <f t="shared" si="5"/>
        <v>59.50</v>
      </c>
      <c r="I79">
        <f t="shared" si="6"/>
        <v>59500000</v>
      </c>
      <c r="J79">
        <f t="shared" si="7"/>
        <v>59.5</v>
      </c>
      <c r="K79" s="4">
        <v>2.2599999999999999E-2</v>
      </c>
    </row>
    <row r="80" spans="2:11" x14ac:dyDescent="0.25">
      <c r="B80" s="190">
        <v>45333</v>
      </c>
      <c r="C80" s="191">
        <v>1460.57</v>
      </c>
      <c r="D80" s="191">
        <v>1460.75</v>
      </c>
      <c r="E80" s="191">
        <v>1484.72</v>
      </c>
      <c r="F80" s="191">
        <v>1442.35</v>
      </c>
      <c r="G80" t="s">
        <v>486</v>
      </c>
      <c r="H80" t="str">
        <f t="shared" si="5"/>
        <v>41.28</v>
      </c>
      <c r="I80">
        <f t="shared" si="6"/>
        <v>41280000</v>
      </c>
      <c r="J80">
        <f t="shared" si="7"/>
        <v>41.28</v>
      </c>
      <c r="K80" s="4">
        <v>-1E-4</v>
      </c>
    </row>
    <row r="81" spans="2:11" x14ac:dyDescent="0.25">
      <c r="B81" s="190">
        <v>45326</v>
      </c>
      <c r="C81" s="191">
        <v>1460.75</v>
      </c>
      <c r="D81" s="191">
        <v>1460.75</v>
      </c>
      <c r="E81" s="191">
        <v>1471.97</v>
      </c>
      <c r="F81" s="191">
        <v>1419.82</v>
      </c>
      <c r="G81" t="s">
        <v>487</v>
      </c>
      <c r="H81" t="str">
        <f t="shared" si="5"/>
        <v>54.41</v>
      </c>
      <c r="I81">
        <f t="shared" si="6"/>
        <v>54410000</v>
      </c>
      <c r="J81">
        <f t="shared" si="7"/>
        <v>54.41</v>
      </c>
      <c r="K81" s="4">
        <v>2.0999999999999999E-3</v>
      </c>
    </row>
    <row r="82" spans="2:11" x14ac:dyDescent="0.25">
      <c r="B82" s="190">
        <v>45319</v>
      </c>
      <c r="C82" s="191">
        <v>1457.7</v>
      </c>
      <c r="D82" s="191">
        <v>1364.5</v>
      </c>
      <c r="E82" s="191">
        <v>1474.9</v>
      </c>
      <c r="F82" s="191">
        <v>1360.18</v>
      </c>
      <c r="G82" t="s">
        <v>488</v>
      </c>
      <c r="H82" t="str">
        <f t="shared" si="5"/>
        <v>86.12</v>
      </c>
      <c r="I82">
        <f t="shared" si="6"/>
        <v>86120000</v>
      </c>
      <c r="J82">
        <f t="shared" si="7"/>
        <v>86.12</v>
      </c>
      <c r="K82" s="4">
        <v>7.7299999999999994E-2</v>
      </c>
    </row>
    <row r="83" spans="2:11" x14ac:dyDescent="0.25">
      <c r="B83" s="190">
        <v>45312</v>
      </c>
      <c r="C83" s="191">
        <v>1353.07</v>
      </c>
      <c r="D83" s="191">
        <v>1365</v>
      </c>
      <c r="E83" s="191">
        <v>1383.47</v>
      </c>
      <c r="F83" s="191">
        <v>1322.55</v>
      </c>
      <c r="G83" t="s">
        <v>489</v>
      </c>
      <c r="H83" t="str">
        <f t="shared" si="5"/>
        <v>61.07</v>
      </c>
      <c r="I83">
        <f t="shared" si="6"/>
        <v>61070000</v>
      </c>
      <c r="J83">
        <f t="shared" si="7"/>
        <v>61.07</v>
      </c>
      <c r="K83" s="4">
        <v>-1.0500000000000001E-2</v>
      </c>
    </row>
    <row r="84" spans="2:11" x14ac:dyDescent="0.25">
      <c r="B84" s="190">
        <v>45305</v>
      </c>
      <c r="C84" s="191">
        <v>1367.45</v>
      </c>
      <c r="D84" s="191">
        <v>1375</v>
      </c>
      <c r="E84" s="191">
        <v>1396.45</v>
      </c>
      <c r="F84" s="191">
        <v>1351.25</v>
      </c>
      <c r="G84" t="s">
        <v>490</v>
      </c>
      <c r="H84" t="str">
        <f t="shared" si="5"/>
        <v>50.58</v>
      </c>
      <c r="I84">
        <f t="shared" si="6"/>
        <v>50580000</v>
      </c>
      <c r="J84">
        <f t="shared" si="7"/>
        <v>50.58</v>
      </c>
      <c r="K84" s="4">
        <v>-2.3999999999999998E-3</v>
      </c>
    </row>
    <row r="85" spans="2:11" x14ac:dyDescent="0.25">
      <c r="B85" s="190">
        <v>45298</v>
      </c>
      <c r="C85" s="191">
        <v>1370.72</v>
      </c>
      <c r="D85" s="191">
        <v>1305</v>
      </c>
      <c r="E85" s="191">
        <v>1373.32</v>
      </c>
      <c r="F85" s="191">
        <v>1284.47</v>
      </c>
      <c r="G85" t="s">
        <v>491</v>
      </c>
      <c r="H85" t="str">
        <f t="shared" si="5"/>
        <v>62.98</v>
      </c>
      <c r="I85">
        <f t="shared" si="6"/>
        <v>62980000</v>
      </c>
      <c r="J85">
        <f t="shared" si="7"/>
        <v>62.98</v>
      </c>
      <c r="K85" s="4">
        <v>5.1299999999999998E-2</v>
      </c>
    </row>
    <row r="86" spans="2:11" x14ac:dyDescent="0.25">
      <c r="B86" s="190">
        <v>45291</v>
      </c>
      <c r="C86" s="191">
        <v>1303.8499999999999</v>
      </c>
      <c r="D86" s="191">
        <v>1290.28</v>
      </c>
      <c r="E86" s="191">
        <v>1317</v>
      </c>
      <c r="F86" s="191">
        <v>1286.5</v>
      </c>
      <c r="G86" t="s">
        <v>492</v>
      </c>
      <c r="H86" t="str">
        <f t="shared" si="5"/>
        <v>38.22</v>
      </c>
      <c r="I86">
        <f t="shared" si="6"/>
        <v>38220000</v>
      </c>
      <c r="J86">
        <f t="shared" si="7"/>
        <v>38.22</v>
      </c>
      <c r="K86" s="4">
        <v>8.8000000000000005E-3</v>
      </c>
    </row>
    <row r="87" spans="2:11" x14ac:dyDescent="0.25">
      <c r="B87" s="190">
        <v>45284</v>
      </c>
      <c r="C87" s="191">
        <v>1292.47</v>
      </c>
      <c r="D87" s="191">
        <v>1284</v>
      </c>
      <c r="E87" s="191">
        <v>1307</v>
      </c>
      <c r="F87" s="191">
        <v>1281.3499999999999</v>
      </c>
      <c r="G87" t="s">
        <v>493</v>
      </c>
      <c r="H87" t="str">
        <f t="shared" si="5"/>
        <v>39.84</v>
      </c>
      <c r="I87">
        <f t="shared" si="6"/>
        <v>39840000</v>
      </c>
      <c r="J87">
        <f t="shared" si="7"/>
        <v>39.840000000000003</v>
      </c>
      <c r="K87" s="4">
        <v>7.7999999999999996E-3</v>
      </c>
    </row>
    <row r="88" spans="2:11" x14ac:dyDescent="0.25">
      <c r="B88" s="190">
        <v>45277</v>
      </c>
      <c r="C88" s="191">
        <v>1282.53</v>
      </c>
      <c r="D88" s="191">
        <v>1247.8</v>
      </c>
      <c r="E88" s="191">
        <v>1299.43</v>
      </c>
      <c r="F88" s="191">
        <v>1245.47</v>
      </c>
      <c r="G88" t="s">
        <v>494</v>
      </c>
      <c r="H88" t="str">
        <f t="shared" si="5"/>
        <v>79.03</v>
      </c>
      <c r="I88">
        <f t="shared" si="6"/>
        <v>79030000</v>
      </c>
      <c r="J88">
        <f t="shared" si="7"/>
        <v>79.03</v>
      </c>
      <c r="K88" s="4">
        <v>2.7799999999999998E-2</v>
      </c>
    </row>
    <row r="89" spans="2:11" x14ac:dyDescent="0.25">
      <c r="B89" s="190">
        <v>45270</v>
      </c>
      <c r="C89" s="191">
        <v>1247.8</v>
      </c>
      <c r="D89" s="191">
        <v>1228</v>
      </c>
      <c r="E89" s="191">
        <v>1250</v>
      </c>
      <c r="F89" s="191">
        <v>1203.1500000000001</v>
      </c>
      <c r="G89" t="s">
        <v>495</v>
      </c>
      <c r="H89" t="str">
        <f t="shared" si="5"/>
        <v>59.20</v>
      </c>
      <c r="I89">
        <f t="shared" si="6"/>
        <v>59200000</v>
      </c>
      <c r="J89">
        <f t="shared" si="7"/>
        <v>59.2</v>
      </c>
      <c r="K89" s="4">
        <v>1.6199999999999999E-2</v>
      </c>
    </row>
    <row r="90" spans="2:11" x14ac:dyDescent="0.25">
      <c r="B90" s="190">
        <v>45263</v>
      </c>
      <c r="C90" s="191">
        <v>1227.8800000000001</v>
      </c>
      <c r="D90" s="191">
        <v>1225</v>
      </c>
      <c r="E90" s="191">
        <v>1238.3499999999999</v>
      </c>
      <c r="F90" s="191">
        <v>1199.3</v>
      </c>
      <c r="G90" t="s">
        <v>496</v>
      </c>
      <c r="H90" t="str">
        <f t="shared" si="5"/>
        <v>63.05</v>
      </c>
      <c r="I90">
        <f t="shared" si="6"/>
        <v>63050000</v>
      </c>
      <c r="J90">
        <f t="shared" si="7"/>
        <v>63.05</v>
      </c>
      <c r="K90" s="4">
        <v>2.5700000000000001E-2</v>
      </c>
    </row>
    <row r="91" spans="2:11" x14ac:dyDescent="0.25">
      <c r="B91" s="190">
        <v>45256</v>
      </c>
      <c r="C91" s="191">
        <v>1197.1500000000001</v>
      </c>
      <c r="D91" s="191">
        <v>1196.95</v>
      </c>
      <c r="E91" s="191">
        <v>1205.97</v>
      </c>
      <c r="F91" s="191">
        <v>1184.95</v>
      </c>
      <c r="G91" t="s">
        <v>497</v>
      </c>
      <c r="H91" t="str">
        <f t="shared" si="5"/>
        <v>69.11</v>
      </c>
      <c r="I91">
        <f t="shared" si="6"/>
        <v>69110000</v>
      </c>
      <c r="J91">
        <f t="shared" si="7"/>
        <v>69.11</v>
      </c>
      <c r="K91" s="4">
        <v>2.0000000000000001E-4</v>
      </c>
    </row>
    <row r="92" spans="2:11" x14ac:dyDescent="0.25">
      <c r="B92" s="190">
        <v>45249</v>
      </c>
      <c r="C92" s="191">
        <v>1196.95</v>
      </c>
      <c r="D92" s="191">
        <v>1174.28</v>
      </c>
      <c r="E92" s="191">
        <v>1201.3</v>
      </c>
      <c r="F92" s="191">
        <v>1168.2</v>
      </c>
      <c r="G92" t="s">
        <v>498</v>
      </c>
      <c r="H92" t="str">
        <f t="shared" si="5"/>
        <v>36.52</v>
      </c>
      <c r="I92">
        <f t="shared" si="6"/>
        <v>36520000</v>
      </c>
      <c r="J92">
        <f t="shared" si="7"/>
        <v>36.520000000000003</v>
      </c>
      <c r="K92" s="4">
        <v>1.6299999999999999E-2</v>
      </c>
    </row>
    <row r="93" spans="2:11" x14ac:dyDescent="0.25">
      <c r="B93" s="190">
        <v>45242</v>
      </c>
      <c r="C93" s="191">
        <v>1177.78</v>
      </c>
      <c r="D93" s="191">
        <v>1163.03</v>
      </c>
      <c r="E93" s="191">
        <v>1187.07</v>
      </c>
      <c r="F93" s="191">
        <v>1155.8499999999999</v>
      </c>
      <c r="G93" t="s">
        <v>499</v>
      </c>
      <c r="H93" t="str">
        <f t="shared" si="5"/>
        <v>38.39</v>
      </c>
      <c r="I93">
        <f t="shared" si="6"/>
        <v>38390000</v>
      </c>
      <c r="J93">
        <f t="shared" si="7"/>
        <v>38.39</v>
      </c>
      <c r="K93" s="4">
        <v>1.7600000000000001E-2</v>
      </c>
    </row>
    <row r="94" spans="2:11" x14ac:dyDescent="0.25">
      <c r="B94" s="190">
        <v>45235</v>
      </c>
      <c r="C94" s="191">
        <v>1157.45</v>
      </c>
      <c r="D94" s="191">
        <v>1166.1500000000001</v>
      </c>
      <c r="E94" s="191">
        <v>1170.5</v>
      </c>
      <c r="F94" s="191">
        <v>1149.03</v>
      </c>
      <c r="G94" t="s">
        <v>500</v>
      </c>
      <c r="H94" t="str">
        <f t="shared" si="5"/>
        <v>47.74</v>
      </c>
      <c r="I94">
        <f t="shared" si="6"/>
        <v>47740000</v>
      </c>
      <c r="J94">
        <f t="shared" si="7"/>
        <v>47.74</v>
      </c>
      <c r="K94" s="4">
        <v>-2.0999999999999999E-3</v>
      </c>
    </row>
    <row r="95" spans="2:11" x14ac:dyDescent="0.25">
      <c r="B95" s="190">
        <v>45228</v>
      </c>
      <c r="C95" s="191">
        <v>1159.8499999999999</v>
      </c>
      <c r="D95" s="191">
        <v>1137</v>
      </c>
      <c r="E95" s="191">
        <v>1167.47</v>
      </c>
      <c r="F95" s="191">
        <v>1134.97</v>
      </c>
      <c r="G95" t="s">
        <v>501</v>
      </c>
      <c r="H95" t="str">
        <f t="shared" si="5"/>
        <v>59.34</v>
      </c>
      <c r="I95">
        <f t="shared" si="6"/>
        <v>59340000</v>
      </c>
      <c r="J95">
        <f t="shared" si="7"/>
        <v>59.34</v>
      </c>
      <c r="K95" s="4">
        <v>2.3800000000000002E-2</v>
      </c>
    </row>
    <row r="96" spans="2:11" x14ac:dyDescent="0.25">
      <c r="B96" s="190">
        <v>45221</v>
      </c>
      <c r="C96" s="191">
        <v>1132.9000000000001</v>
      </c>
      <c r="D96" s="191">
        <v>1145</v>
      </c>
      <c r="E96" s="191">
        <v>1153.1300000000001</v>
      </c>
      <c r="F96" s="191">
        <v>1110.1500000000001</v>
      </c>
      <c r="G96" t="s">
        <v>502</v>
      </c>
      <c r="H96" t="str">
        <f t="shared" si="5"/>
        <v>46.47</v>
      </c>
      <c r="I96">
        <f t="shared" si="6"/>
        <v>46470000</v>
      </c>
      <c r="J96">
        <f t="shared" si="7"/>
        <v>46.47</v>
      </c>
      <c r="K96" s="4">
        <v>-1.4500000000000001E-2</v>
      </c>
    </row>
    <row r="97" spans="2:11" x14ac:dyDescent="0.25">
      <c r="B97" s="190">
        <v>45214</v>
      </c>
      <c r="C97" s="191">
        <v>1149.55</v>
      </c>
      <c r="D97" s="191">
        <v>1172.5</v>
      </c>
      <c r="E97" s="191">
        <v>1183.5</v>
      </c>
      <c r="F97" s="191">
        <v>1148.1500000000001</v>
      </c>
      <c r="G97" t="s">
        <v>503</v>
      </c>
      <c r="H97" t="str">
        <f t="shared" si="5"/>
        <v>43.72</v>
      </c>
      <c r="I97">
        <f t="shared" si="6"/>
        <v>43720000</v>
      </c>
      <c r="J97">
        <f t="shared" si="7"/>
        <v>43.72</v>
      </c>
      <c r="K97" s="4">
        <v>-2.1399999999999999E-2</v>
      </c>
    </row>
    <row r="98" spans="2:11" x14ac:dyDescent="0.25">
      <c r="B98" s="190">
        <v>45207</v>
      </c>
      <c r="C98" s="191">
        <v>1174.6500000000001</v>
      </c>
      <c r="D98" s="191">
        <v>1154.05</v>
      </c>
      <c r="E98" s="191">
        <v>1179.68</v>
      </c>
      <c r="F98" s="191">
        <v>1147.5</v>
      </c>
      <c r="G98" t="s">
        <v>504</v>
      </c>
      <c r="H98" t="str">
        <f t="shared" si="5"/>
        <v>50.33</v>
      </c>
      <c r="I98">
        <f t="shared" si="6"/>
        <v>50330000</v>
      </c>
      <c r="J98">
        <f t="shared" si="7"/>
        <v>50.33</v>
      </c>
      <c r="K98" s="4">
        <v>1.35E-2</v>
      </c>
    </row>
    <row r="99" spans="2:11" x14ac:dyDescent="0.25">
      <c r="B99" s="190">
        <v>45200</v>
      </c>
      <c r="C99" s="191">
        <v>1159</v>
      </c>
      <c r="D99" s="191">
        <v>1164.97</v>
      </c>
      <c r="E99" s="191">
        <v>1167.8</v>
      </c>
      <c r="F99" s="191">
        <v>1147.55</v>
      </c>
      <c r="G99" t="s">
        <v>505</v>
      </c>
      <c r="H99" t="str">
        <f t="shared" si="5"/>
        <v>35.53</v>
      </c>
      <c r="I99">
        <f t="shared" si="6"/>
        <v>35530000</v>
      </c>
      <c r="J99">
        <f t="shared" si="7"/>
        <v>35.53</v>
      </c>
      <c r="K99" s="4">
        <v>-1.15E-2</v>
      </c>
    </row>
    <row r="100" spans="2:11" x14ac:dyDescent="0.25">
      <c r="B100" s="190">
        <v>45193</v>
      </c>
      <c r="C100" s="191">
        <v>1172.5</v>
      </c>
      <c r="D100" s="191">
        <v>1175.2</v>
      </c>
      <c r="E100" s="191">
        <v>1191.5</v>
      </c>
      <c r="F100" s="191">
        <v>1162.5</v>
      </c>
      <c r="G100" t="s">
        <v>506</v>
      </c>
      <c r="H100" t="str">
        <f t="shared" si="5"/>
        <v>62.93</v>
      </c>
      <c r="I100">
        <f t="shared" si="6"/>
        <v>62930000</v>
      </c>
      <c r="J100">
        <f t="shared" si="7"/>
        <v>62.93</v>
      </c>
      <c r="K100" s="4">
        <v>-4.1999999999999997E-3</v>
      </c>
    </row>
    <row r="101" spans="2:11" x14ac:dyDescent="0.25">
      <c r="B101" s="190">
        <v>45186</v>
      </c>
      <c r="C101" s="191">
        <v>1177.47</v>
      </c>
      <c r="D101" s="191">
        <v>1220.03</v>
      </c>
      <c r="E101" s="191">
        <v>1225.5</v>
      </c>
      <c r="F101" s="191">
        <v>1175</v>
      </c>
      <c r="G101" t="s">
        <v>507</v>
      </c>
      <c r="H101" t="str">
        <f t="shared" si="5"/>
        <v>96.00</v>
      </c>
      <c r="I101">
        <f t="shared" si="6"/>
        <v>96000000</v>
      </c>
      <c r="J101">
        <f t="shared" si="7"/>
        <v>96</v>
      </c>
      <c r="K101" s="4">
        <v>-4.19E-2</v>
      </c>
    </row>
    <row r="102" spans="2:11" x14ac:dyDescent="0.25">
      <c r="B102" s="190">
        <v>45179</v>
      </c>
      <c r="C102" s="191">
        <v>1228.93</v>
      </c>
      <c r="D102" s="191">
        <v>1226</v>
      </c>
      <c r="E102" s="191">
        <v>1241.5</v>
      </c>
      <c r="F102" s="191">
        <v>1213.1300000000001</v>
      </c>
      <c r="G102" t="s">
        <v>508</v>
      </c>
      <c r="H102" t="str">
        <f t="shared" si="5"/>
        <v>77.01</v>
      </c>
      <c r="I102">
        <f t="shared" si="6"/>
        <v>77010000</v>
      </c>
      <c r="J102">
        <f t="shared" si="7"/>
        <v>77.010000000000005</v>
      </c>
      <c r="K102" s="4">
        <v>3.8999999999999998E-3</v>
      </c>
    </row>
    <row r="103" spans="2:11" x14ac:dyDescent="0.25">
      <c r="B103" s="190">
        <v>45172</v>
      </c>
      <c r="C103" s="191">
        <v>1224.0999999999999</v>
      </c>
      <c r="D103" s="191">
        <v>1206.32</v>
      </c>
      <c r="E103" s="191">
        <v>1228</v>
      </c>
      <c r="F103" s="191">
        <v>1202.6500000000001</v>
      </c>
      <c r="G103" t="s">
        <v>509</v>
      </c>
      <c r="H103" t="str">
        <f t="shared" si="5"/>
        <v>62.99</v>
      </c>
      <c r="I103">
        <f t="shared" si="6"/>
        <v>62990000</v>
      </c>
      <c r="J103">
        <f t="shared" si="7"/>
        <v>62.99</v>
      </c>
      <c r="K103" s="4">
        <v>1.47E-2</v>
      </c>
    </row>
    <row r="104" spans="2:11" x14ac:dyDescent="0.25">
      <c r="B104" s="190">
        <v>45165</v>
      </c>
      <c r="C104" s="191">
        <v>1206.32</v>
      </c>
      <c r="D104" s="191">
        <v>1236</v>
      </c>
      <c r="E104" s="191">
        <v>1242</v>
      </c>
      <c r="F104" s="191">
        <v>1199.95</v>
      </c>
      <c r="G104" t="s">
        <v>510</v>
      </c>
      <c r="H104" t="str">
        <f t="shared" si="5"/>
        <v>81.38</v>
      </c>
      <c r="I104">
        <f t="shared" si="6"/>
        <v>81380000</v>
      </c>
      <c r="J104">
        <f t="shared" si="7"/>
        <v>81.38</v>
      </c>
      <c r="K104" s="4">
        <v>-2.2599999999999999E-2</v>
      </c>
    </row>
    <row r="105" spans="2:11" x14ac:dyDescent="0.25">
      <c r="B105" s="190">
        <v>45158</v>
      </c>
      <c r="C105" s="191">
        <v>1234.18</v>
      </c>
      <c r="D105" s="191">
        <v>1269.97</v>
      </c>
      <c r="E105" s="191">
        <v>1277.72</v>
      </c>
      <c r="F105" s="191">
        <v>1221.3</v>
      </c>
      <c r="G105" t="s">
        <v>511</v>
      </c>
      <c r="H105" t="str">
        <f t="shared" si="5"/>
        <v>62.82</v>
      </c>
      <c r="I105">
        <f t="shared" si="6"/>
        <v>62820000</v>
      </c>
      <c r="J105">
        <f t="shared" si="7"/>
        <v>62.82</v>
      </c>
      <c r="K105" s="4">
        <v>-3.4599999999999999E-2</v>
      </c>
    </row>
    <row r="106" spans="2:11" x14ac:dyDescent="0.25">
      <c r="B106" s="190">
        <v>45151</v>
      </c>
      <c r="C106" s="191">
        <v>1278.4000000000001</v>
      </c>
      <c r="D106" s="191">
        <v>1269.5</v>
      </c>
      <c r="E106" s="191">
        <v>1291.4000000000001</v>
      </c>
      <c r="F106" s="191">
        <v>1254.28</v>
      </c>
      <c r="G106" t="s">
        <v>512</v>
      </c>
      <c r="H106" t="str">
        <f t="shared" si="5"/>
        <v>52.09</v>
      </c>
      <c r="I106">
        <f t="shared" si="6"/>
        <v>52090000</v>
      </c>
      <c r="J106">
        <f t="shared" si="7"/>
        <v>52.09</v>
      </c>
      <c r="K106" s="4">
        <v>3.8E-3</v>
      </c>
    </row>
    <row r="107" spans="2:11" x14ac:dyDescent="0.25">
      <c r="B107" s="190">
        <v>45144</v>
      </c>
      <c r="C107" s="191">
        <v>1273.57</v>
      </c>
      <c r="D107" s="191">
        <v>1260.5</v>
      </c>
      <c r="E107" s="191">
        <v>1279.43</v>
      </c>
      <c r="F107" s="191">
        <v>1240.55</v>
      </c>
      <c r="G107" t="s">
        <v>513</v>
      </c>
      <c r="H107" t="str">
        <f t="shared" si="5"/>
        <v>64.96</v>
      </c>
      <c r="I107">
        <f t="shared" si="6"/>
        <v>64959999.999999993</v>
      </c>
      <c r="J107">
        <f t="shared" si="7"/>
        <v>64.959999999999994</v>
      </c>
      <c r="K107" s="4">
        <v>1.4999999999999999E-2</v>
      </c>
    </row>
    <row r="108" spans="2:11" x14ac:dyDescent="0.25">
      <c r="B108" s="190">
        <v>45137</v>
      </c>
      <c r="C108" s="191">
        <v>1254.78</v>
      </c>
      <c r="D108" s="191">
        <v>1263.93</v>
      </c>
      <c r="E108" s="191">
        <v>1279.5</v>
      </c>
      <c r="F108" s="191">
        <v>1229.03</v>
      </c>
      <c r="G108" t="s">
        <v>514</v>
      </c>
      <c r="H108" t="str">
        <f t="shared" si="5"/>
        <v>63.89</v>
      </c>
      <c r="I108">
        <f t="shared" si="6"/>
        <v>63890000</v>
      </c>
      <c r="J108">
        <f t="shared" si="7"/>
        <v>63.89</v>
      </c>
      <c r="K108" s="4">
        <v>-7.1999999999999998E-3</v>
      </c>
    </row>
    <row r="109" spans="2:11" x14ac:dyDescent="0.25">
      <c r="B109" s="190">
        <v>45130</v>
      </c>
      <c r="C109" s="191">
        <v>1263.93</v>
      </c>
      <c r="D109" s="191">
        <v>1240.5</v>
      </c>
      <c r="E109" s="191">
        <v>1273.5</v>
      </c>
      <c r="F109" s="191">
        <v>1234.6500000000001</v>
      </c>
      <c r="G109" t="s">
        <v>515</v>
      </c>
      <c r="H109" t="str">
        <f t="shared" si="5"/>
        <v>86.72</v>
      </c>
      <c r="I109">
        <f t="shared" si="6"/>
        <v>86720000</v>
      </c>
      <c r="J109">
        <f t="shared" si="7"/>
        <v>86.72</v>
      </c>
      <c r="K109" s="4">
        <v>-4.3E-3</v>
      </c>
    </row>
    <row r="110" spans="2:11" x14ac:dyDescent="0.25">
      <c r="B110" s="190">
        <v>45123</v>
      </c>
      <c r="C110" s="191">
        <v>1269.3800000000001</v>
      </c>
      <c r="D110" s="191">
        <v>1246.94</v>
      </c>
      <c r="E110" s="191">
        <v>1315.47</v>
      </c>
      <c r="F110" s="191">
        <v>1238.32</v>
      </c>
      <c r="G110" t="s">
        <v>516</v>
      </c>
      <c r="H110" t="str">
        <f t="shared" si="5"/>
        <v>149.46</v>
      </c>
      <c r="I110">
        <f t="shared" si="6"/>
        <v>149460000</v>
      </c>
      <c r="J110">
        <f t="shared" si="7"/>
        <v>149.46</v>
      </c>
      <c r="K110" s="4">
        <v>2.0299999999999999E-2</v>
      </c>
    </row>
    <row r="111" spans="2:11" x14ac:dyDescent="0.25">
      <c r="B111" s="190">
        <v>45116</v>
      </c>
      <c r="C111" s="191">
        <v>1244.08</v>
      </c>
      <c r="D111" s="191">
        <v>1220.57</v>
      </c>
      <c r="E111" s="191">
        <v>1271.9100000000001</v>
      </c>
      <c r="F111" s="191">
        <v>1214.26</v>
      </c>
      <c r="G111" t="s">
        <v>517</v>
      </c>
      <c r="H111" t="str">
        <f t="shared" si="5"/>
        <v>94.01</v>
      </c>
      <c r="I111">
        <f t="shared" si="6"/>
        <v>94010000</v>
      </c>
      <c r="J111">
        <f t="shared" si="7"/>
        <v>94.01</v>
      </c>
      <c r="K111" s="4">
        <v>4.07E-2</v>
      </c>
    </row>
    <row r="112" spans="2:11" x14ac:dyDescent="0.25">
      <c r="B112" s="190">
        <v>45109</v>
      </c>
      <c r="C112" s="191">
        <v>1195.47</v>
      </c>
      <c r="D112" s="191">
        <v>1161.17</v>
      </c>
      <c r="E112" s="191">
        <v>1209.7</v>
      </c>
      <c r="F112" s="191">
        <v>1159.95</v>
      </c>
      <c r="G112" t="s">
        <v>518</v>
      </c>
      <c r="H112" t="str">
        <f t="shared" si="5"/>
        <v>58.11</v>
      </c>
      <c r="I112">
        <f t="shared" si="6"/>
        <v>58110000</v>
      </c>
      <c r="J112">
        <f t="shared" si="7"/>
        <v>58.11</v>
      </c>
      <c r="K112" s="4">
        <v>3.27E-2</v>
      </c>
    </row>
    <row r="113" spans="2:11" x14ac:dyDescent="0.25">
      <c r="B113" s="190">
        <v>45102</v>
      </c>
      <c r="C113" s="191">
        <v>1157.6300000000001</v>
      </c>
      <c r="D113" s="191">
        <v>1138</v>
      </c>
      <c r="E113" s="191">
        <v>1160.54</v>
      </c>
      <c r="F113" s="191">
        <v>1128.76</v>
      </c>
      <c r="G113" t="s">
        <v>519</v>
      </c>
      <c r="H113" t="str">
        <f t="shared" si="5"/>
        <v>41.38</v>
      </c>
      <c r="I113">
        <f t="shared" si="6"/>
        <v>41380000</v>
      </c>
      <c r="J113">
        <f t="shared" si="7"/>
        <v>41.38</v>
      </c>
      <c r="K113" s="4">
        <v>1.41E-2</v>
      </c>
    </row>
    <row r="114" spans="2:11" x14ac:dyDescent="0.25">
      <c r="B114" s="190">
        <v>45095</v>
      </c>
      <c r="C114" s="191">
        <v>1141.52</v>
      </c>
      <c r="D114" s="191">
        <v>1172.95</v>
      </c>
      <c r="E114" s="191">
        <v>1172.95</v>
      </c>
      <c r="F114" s="191">
        <v>1140.27</v>
      </c>
      <c r="G114" t="s">
        <v>520</v>
      </c>
      <c r="H114" t="str">
        <f t="shared" si="5"/>
        <v>32.24</v>
      </c>
      <c r="I114">
        <f t="shared" si="6"/>
        <v>32240000.000000004</v>
      </c>
      <c r="J114">
        <f t="shared" si="7"/>
        <v>32.24</v>
      </c>
      <c r="K114" s="4">
        <v>-2.4299999999999999E-2</v>
      </c>
    </row>
    <row r="115" spans="2:11" x14ac:dyDescent="0.25">
      <c r="B115" s="190">
        <v>45088</v>
      </c>
      <c r="C115" s="191">
        <v>1169.96</v>
      </c>
      <c r="D115" s="191">
        <v>1123.7</v>
      </c>
      <c r="E115" s="191">
        <v>1172.23</v>
      </c>
      <c r="F115" s="191">
        <v>1118.94</v>
      </c>
      <c r="G115" t="s">
        <v>521</v>
      </c>
      <c r="H115" t="str">
        <f t="shared" si="5"/>
        <v>61.75</v>
      </c>
      <c r="I115">
        <f t="shared" si="6"/>
        <v>61750000</v>
      </c>
      <c r="J115">
        <f t="shared" si="7"/>
        <v>61.75</v>
      </c>
      <c r="K115" s="4">
        <v>3.85E-2</v>
      </c>
    </row>
    <row r="116" spans="2:11" x14ac:dyDescent="0.25">
      <c r="B116" s="190">
        <v>45081</v>
      </c>
      <c r="C116" s="191">
        <v>1126.6300000000001</v>
      </c>
      <c r="D116" s="191">
        <v>1119.94</v>
      </c>
      <c r="E116" s="191">
        <v>1142.47</v>
      </c>
      <c r="F116" s="191">
        <v>1115.96</v>
      </c>
      <c r="G116" t="s">
        <v>522</v>
      </c>
      <c r="H116" t="str">
        <f t="shared" si="5"/>
        <v>43.07</v>
      </c>
      <c r="I116">
        <f t="shared" si="6"/>
        <v>43070000</v>
      </c>
      <c r="J116">
        <f t="shared" si="7"/>
        <v>43.07</v>
      </c>
      <c r="K116" s="4">
        <v>1.09E-2</v>
      </c>
    </row>
    <row r="117" spans="2:11" x14ac:dyDescent="0.25">
      <c r="B117" s="190">
        <v>45074</v>
      </c>
      <c r="C117" s="191">
        <v>1114.49</v>
      </c>
      <c r="D117" s="191">
        <v>1144.3599999999999</v>
      </c>
      <c r="E117" s="191">
        <v>1151.94</v>
      </c>
      <c r="F117" s="191">
        <v>1112.58</v>
      </c>
      <c r="G117" t="s">
        <v>523</v>
      </c>
      <c r="H117" t="str">
        <f t="shared" si="5"/>
        <v>72.78</v>
      </c>
      <c r="I117">
        <f t="shared" si="6"/>
        <v>72780000</v>
      </c>
      <c r="J117">
        <f t="shared" si="7"/>
        <v>72.78</v>
      </c>
      <c r="K117" s="4">
        <v>-2.0500000000000001E-2</v>
      </c>
    </row>
    <row r="118" spans="2:11" x14ac:dyDescent="0.25">
      <c r="B118" s="190">
        <v>45067</v>
      </c>
      <c r="C118" s="191">
        <v>1137.77</v>
      </c>
      <c r="D118" s="191">
        <v>1105.32</v>
      </c>
      <c r="E118" s="191">
        <v>1138.9100000000001</v>
      </c>
      <c r="F118" s="191">
        <v>1096.72</v>
      </c>
      <c r="G118" t="s">
        <v>524</v>
      </c>
      <c r="H118" t="str">
        <f t="shared" si="5"/>
        <v>42.23</v>
      </c>
      <c r="I118">
        <f t="shared" si="6"/>
        <v>42230000</v>
      </c>
      <c r="J118">
        <f t="shared" si="7"/>
        <v>42.23</v>
      </c>
      <c r="K118" s="4">
        <v>2.64E-2</v>
      </c>
    </row>
    <row r="119" spans="2:11" x14ac:dyDescent="0.25">
      <c r="B119" s="190">
        <v>45060</v>
      </c>
      <c r="C119" s="191">
        <v>1108.47</v>
      </c>
      <c r="D119" s="191">
        <v>1130.24</v>
      </c>
      <c r="E119" s="191">
        <v>1136.8900000000001</v>
      </c>
      <c r="F119" s="191">
        <v>1097.99</v>
      </c>
      <c r="G119" t="s">
        <v>525</v>
      </c>
      <c r="H119" t="str">
        <f t="shared" si="5"/>
        <v>39.62</v>
      </c>
      <c r="I119">
        <f t="shared" si="6"/>
        <v>39620000</v>
      </c>
      <c r="J119">
        <f t="shared" si="7"/>
        <v>39.619999999999997</v>
      </c>
      <c r="K119" s="4">
        <v>-1.7100000000000001E-2</v>
      </c>
    </row>
    <row r="120" spans="2:11" x14ac:dyDescent="0.25">
      <c r="B120" s="190">
        <v>45053</v>
      </c>
      <c r="C120" s="191">
        <v>1127.72</v>
      </c>
      <c r="D120" s="191">
        <v>1112.1300000000001</v>
      </c>
      <c r="E120" s="191">
        <v>1139.1400000000001</v>
      </c>
      <c r="F120" s="191">
        <v>1109.47</v>
      </c>
      <c r="G120" t="s">
        <v>526</v>
      </c>
      <c r="H120" t="str">
        <f t="shared" si="5"/>
        <v>40.62</v>
      </c>
      <c r="I120">
        <f t="shared" si="6"/>
        <v>40620000</v>
      </c>
      <c r="J120">
        <f t="shared" si="7"/>
        <v>40.619999999999997</v>
      </c>
      <c r="K120" s="4">
        <v>1.7399999999999999E-2</v>
      </c>
    </row>
    <row r="121" spans="2:11" x14ac:dyDescent="0.25">
      <c r="B121" s="190">
        <v>45046</v>
      </c>
      <c r="C121" s="191">
        <v>1108.3800000000001</v>
      </c>
      <c r="D121" s="191">
        <v>1105.8599999999999</v>
      </c>
      <c r="E121" s="191">
        <v>1117.28</v>
      </c>
      <c r="F121" s="191">
        <v>1095.3499999999999</v>
      </c>
      <c r="G121" t="s">
        <v>527</v>
      </c>
      <c r="H121" t="str">
        <f t="shared" si="5"/>
        <v>34.54</v>
      </c>
      <c r="I121">
        <f t="shared" si="6"/>
        <v>34540000</v>
      </c>
      <c r="J121">
        <f t="shared" si="7"/>
        <v>34.54</v>
      </c>
      <c r="K121" s="4">
        <v>8.8000000000000005E-3</v>
      </c>
    </row>
    <row r="122" spans="2:11" x14ac:dyDescent="0.25">
      <c r="B122" s="190">
        <v>45039</v>
      </c>
      <c r="C122" s="191">
        <v>1098.74</v>
      </c>
      <c r="D122" s="191">
        <v>1078.08</v>
      </c>
      <c r="E122" s="191">
        <v>1100.28</v>
      </c>
      <c r="F122" s="191">
        <v>1065.83</v>
      </c>
      <c r="G122" t="s">
        <v>528</v>
      </c>
      <c r="H122" t="str">
        <f t="shared" si="5"/>
        <v>51.25</v>
      </c>
      <c r="I122">
        <f t="shared" si="6"/>
        <v>51250000</v>
      </c>
      <c r="J122">
        <f t="shared" si="7"/>
        <v>51.25</v>
      </c>
      <c r="K122" s="4">
        <v>3.04E-2</v>
      </c>
    </row>
    <row r="123" spans="2:11" x14ac:dyDescent="0.25">
      <c r="B123" s="190">
        <v>45032</v>
      </c>
      <c r="C123" s="191">
        <v>1066.28</v>
      </c>
      <c r="D123" s="191">
        <v>1100.76</v>
      </c>
      <c r="E123" s="191">
        <v>1100.76</v>
      </c>
      <c r="F123" s="191">
        <v>1055.8399999999999</v>
      </c>
      <c r="G123" t="s">
        <v>412</v>
      </c>
      <c r="H123" t="str">
        <f t="shared" si="5"/>
        <v>51.01</v>
      </c>
      <c r="I123">
        <f t="shared" si="6"/>
        <v>51010000</v>
      </c>
      <c r="J123">
        <f t="shared" si="7"/>
        <v>51.01</v>
      </c>
      <c r="K123" s="4">
        <v>-2.8E-3</v>
      </c>
    </row>
    <row r="124" spans="2:11" x14ac:dyDescent="0.25">
      <c r="B124" s="190">
        <v>45025</v>
      </c>
      <c r="C124" s="191">
        <v>1069.23</v>
      </c>
      <c r="D124" s="191">
        <v>1066.73</v>
      </c>
      <c r="E124" s="191">
        <v>1074.81</v>
      </c>
      <c r="F124" s="191">
        <v>1053.82</v>
      </c>
      <c r="G124" t="s">
        <v>529</v>
      </c>
      <c r="H124" t="str">
        <f t="shared" si="5"/>
        <v>49.90</v>
      </c>
      <c r="I124">
        <f t="shared" si="6"/>
        <v>49900000</v>
      </c>
      <c r="J124">
        <f t="shared" si="7"/>
        <v>49.9</v>
      </c>
      <c r="K124" s="4">
        <v>6.0000000000000001E-3</v>
      </c>
    </row>
    <row r="125" spans="2:11" x14ac:dyDescent="0.25">
      <c r="B125" s="190">
        <v>45018</v>
      </c>
      <c r="C125" s="191">
        <v>1062.8499999999999</v>
      </c>
      <c r="D125" s="191">
        <v>1064.46</v>
      </c>
      <c r="E125" s="191">
        <v>1068.55</v>
      </c>
      <c r="F125" s="191">
        <v>1047.92</v>
      </c>
      <c r="G125" t="s">
        <v>530</v>
      </c>
      <c r="H125" t="str">
        <f t="shared" si="5"/>
        <v>41.53</v>
      </c>
      <c r="I125">
        <f t="shared" si="6"/>
        <v>41530000</v>
      </c>
      <c r="J125">
        <f t="shared" si="7"/>
        <v>41.53</v>
      </c>
      <c r="K125" s="4">
        <v>4.4999999999999997E-3</v>
      </c>
    </row>
    <row r="126" spans="2:11" x14ac:dyDescent="0.25">
      <c r="B126" s="190">
        <v>45011</v>
      </c>
      <c r="C126" s="191">
        <v>1058.1300000000001</v>
      </c>
      <c r="D126" s="191">
        <v>1006.59</v>
      </c>
      <c r="E126" s="191">
        <v>1063.76</v>
      </c>
      <c r="F126">
        <v>998.74</v>
      </c>
      <c r="G126" t="s">
        <v>531</v>
      </c>
      <c r="H126" t="str">
        <f t="shared" si="5"/>
        <v>67.94</v>
      </c>
      <c r="I126">
        <f t="shared" si="6"/>
        <v>67940000</v>
      </c>
      <c r="J126">
        <f t="shared" si="7"/>
        <v>67.94</v>
      </c>
      <c r="K126" s="4">
        <v>5.8000000000000003E-2</v>
      </c>
    </row>
    <row r="127" spans="2:11" x14ac:dyDescent="0.25">
      <c r="B127" s="190">
        <v>45004</v>
      </c>
      <c r="C127" s="191">
        <v>1000.14</v>
      </c>
      <c r="D127" s="191">
        <v>1005.45</v>
      </c>
      <c r="E127" s="191">
        <v>1040.1600000000001</v>
      </c>
      <c r="F127">
        <v>989.57</v>
      </c>
      <c r="G127" t="s">
        <v>532</v>
      </c>
      <c r="H127" t="str">
        <f t="shared" si="5"/>
        <v>74.27</v>
      </c>
      <c r="I127">
        <f t="shared" si="6"/>
        <v>74270000</v>
      </c>
      <c r="J127">
        <f t="shared" si="7"/>
        <v>74.27</v>
      </c>
      <c r="K127" s="4">
        <v>-8.8999999999999999E-3</v>
      </c>
    </row>
    <row r="128" spans="2:11" x14ac:dyDescent="0.25">
      <c r="B128" s="190">
        <v>44997</v>
      </c>
      <c r="C128" s="191">
        <v>1009.13</v>
      </c>
      <c r="D128" s="191">
        <v>1057.2</v>
      </c>
      <c r="E128" s="191">
        <v>1064.01</v>
      </c>
      <c r="F128">
        <v>999.64</v>
      </c>
      <c r="G128" t="s">
        <v>533</v>
      </c>
      <c r="H128" t="str">
        <f t="shared" si="5"/>
        <v>94.98</v>
      </c>
      <c r="I128">
        <f t="shared" si="6"/>
        <v>94980000</v>
      </c>
      <c r="J128">
        <f t="shared" si="7"/>
        <v>94.98</v>
      </c>
      <c r="K128" s="4">
        <v>-4.2900000000000001E-2</v>
      </c>
    </row>
    <row r="129" spans="2:11" x14ac:dyDescent="0.25">
      <c r="B129" s="190">
        <v>44990</v>
      </c>
      <c r="C129" s="191">
        <v>1054.3399999999999</v>
      </c>
      <c r="D129" s="191">
        <v>1089.43</v>
      </c>
      <c r="E129" s="191">
        <v>1100.5999999999999</v>
      </c>
      <c r="F129" s="191">
        <v>1050.8699999999999</v>
      </c>
      <c r="G129" t="s">
        <v>528</v>
      </c>
      <c r="H129" t="str">
        <f t="shared" si="5"/>
        <v>51.25</v>
      </c>
      <c r="I129">
        <f t="shared" si="6"/>
        <v>51250000</v>
      </c>
      <c r="J129">
        <f t="shared" si="7"/>
        <v>51.25</v>
      </c>
      <c r="K129" s="4">
        <v>-2.63E-2</v>
      </c>
    </row>
    <row r="130" spans="2:11" x14ac:dyDescent="0.25">
      <c r="B130" s="190">
        <v>44983</v>
      </c>
      <c r="C130" s="191">
        <v>1082.8</v>
      </c>
      <c r="D130" s="191">
        <v>1081.26</v>
      </c>
      <c r="E130" s="191">
        <v>1086.46</v>
      </c>
      <c r="F130" s="191">
        <v>1050.23</v>
      </c>
      <c r="G130" t="s">
        <v>534</v>
      </c>
      <c r="H130" t="str">
        <f t="shared" si="5"/>
        <v>63.43</v>
      </c>
      <c r="I130">
        <f t="shared" si="6"/>
        <v>63430000</v>
      </c>
      <c r="J130">
        <f t="shared" si="7"/>
        <v>63.43</v>
      </c>
      <c r="K130" s="4">
        <v>6.9999999999999999E-4</v>
      </c>
    </row>
    <row r="131" spans="2:11" x14ac:dyDescent="0.25">
      <c r="B131" s="190">
        <v>44976</v>
      </c>
      <c r="C131" s="191">
        <v>1082.03</v>
      </c>
      <c r="D131" s="191">
        <v>1109.8599999999999</v>
      </c>
      <c r="E131" s="191">
        <v>1112.01</v>
      </c>
      <c r="F131" s="191">
        <v>1071.8900000000001</v>
      </c>
      <c r="G131" t="s">
        <v>535</v>
      </c>
      <c r="H131" t="str">
        <f t="shared" si="5"/>
        <v>48.42</v>
      </c>
      <c r="I131">
        <f t="shared" si="6"/>
        <v>48420000</v>
      </c>
      <c r="J131">
        <f t="shared" si="7"/>
        <v>48.42</v>
      </c>
      <c r="K131" s="4">
        <v>-2.3199999999999998E-2</v>
      </c>
    </row>
    <row r="132" spans="2:11" x14ac:dyDescent="0.25">
      <c r="B132" s="190">
        <v>44969</v>
      </c>
      <c r="C132" s="191">
        <v>1107.68</v>
      </c>
      <c r="D132" s="191">
        <v>1062.29</v>
      </c>
      <c r="E132" s="191">
        <v>1118.3900000000001</v>
      </c>
      <c r="F132" s="191">
        <v>1050.19</v>
      </c>
      <c r="G132" t="s">
        <v>536</v>
      </c>
      <c r="H132" t="str">
        <f t="shared" ref="H132:H195" si="8">LEFT(G132,LEN(G132)-1)</f>
        <v>80.53</v>
      </c>
      <c r="I132">
        <f t="shared" ref="I132:I195" si="9">H132*1000000</f>
        <v>80530000</v>
      </c>
      <c r="J132">
        <f t="shared" ref="J132:J195" si="10">I132/1000000</f>
        <v>80.53</v>
      </c>
      <c r="K132" s="4">
        <v>4.4299999999999999E-2</v>
      </c>
    </row>
    <row r="133" spans="2:11" x14ac:dyDescent="0.25">
      <c r="B133" s="190">
        <v>44962</v>
      </c>
      <c r="C133" s="191">
        <v>1060.67</v>
      </c>
      <c r="D133" s="191">
        <v>1050.8499999999999</v>
      </c>
      <c r="E133" s="191">
        <v>1076.2</v>
      </c>
      <c r="F133" s="191">
        <v>1040.8599999999999</v>
      </c>
      <c r="G133" t="s">
        <v>537</v>
      </c>
      <c r="H133" t="str">
        <f t="shared" si="8"/>
        <v>69.31</v>
      </c>
      <c r="I133">
        <f t="shared" si="9"/>
        <v>69310000</v>
      </c>
      <c r="J133">
        <f t="shared" si="10"/>
        <v>69.31</v>
      </c>
      <c r="K133" s="4">
        <v>3.3E-3</v>
      </c>
    </row>
    <row r="134" spans="2:11" x14ac:dyDescent="0.25">
      <c r="B134" s="190">
        <v>44955</v>
      </c>
      <c r="C134" s="191">
        <v>1057.2</v>
      </c>
      <c r="D134" s="191">
        <v>1058.43</v>
      </c>
      <c r="E134" s="191">
        <v>1083.82</v>
      </c>
      <c r="F134" s="191">
        <v>1040.8599999999999</v>
      </c>
      <c r="G134" t="s">
        <v>538</v>
      </c>
      <c r="H134" t="str">
        <f t="shared" si="8"/>
        <v>94.31</v>
      </c>
      <c r="I134">
        <f t="shared" si="9"/>
        <v>94310000</v>
      </c>
      <c r="J134">
        <f t="shared" si="10"/>
        <v>94.31</v>
      </c>
      <c r="K134" s="4">
        <v>-3.5999999999999999E-3</v>
      </c>
    </row>
    <row r="135" spans="2:11" x14ac:dyDescent="0.25">
      <c r="B135" s="190">
        <v>44948</v>
      </c>
      <c r="C135" s="191">
        <v>1060.99</v>
      </c>
      <c r="D135" s="191">
        <v>1111.67</v>
      </c>
      <c r="E135" s="191">
        <v>1119.48</v>
      </c>
      <c r="F135" s="191">
        <v>1049.33</v>
      </c>
      <c r="G135" t="s">
        <v>456</v>
      </c>
      <c r="H135" t="str">
        <f t="shared" si="8"/>
        <v>60.60</v>
      </c>
      <c r="I135">
        <f t="shared" si="9"/>
        <v>60600000</v>
      </c>
      <c r="J135">
        <f t="shared" si="10"/>
        <v>60.6</v>
      </c>
      <c r="K135" s="4">
        <v>-4.3099999999999999E-2</v>
      </c>
    </row>
    <row r="136" spans="2:11" x14ac:dyDescent="0.25">
      <c r="B136" s="190">
        <v>44941</v>
      </c>
      <c r="C136" s="191">
        <v>1108.79</v>
      </c>
      <c r="D136" s="191">
        <v>1122.43</v>
      </c>
      <c r="E136" s="191">
        <v>1130.78</v>
      </c>
      <c r="F136" s="191">
        <v>1101.69</v>
      </c>
      <c r="G136" t="s">
        <v>539</v>
      </c>
      <c r="H136" t="str">
        <f t="shared" si="8"/>
        <v>59.71</v>
      </c>
      <c r="I136">
        <f t="shared" si="9"/>
        <v>59710000</v>
      </c>
      <c r="J136">
        <f t="shared" si="10"/>
        <v>59.71</v>
      </c>
      <c r="K136" s="4">
        <v>-1.01E-2</v>
      </c>
    </row>
    <row r="137" spans="2:11" x14ac:dyDescent="0.25">
      <c r="B137" s="190">
        <v>44934</v>
      </c>
      <c r="C137" s="191">
        <v>1120.1199999999999</v>
      </c>
      <c r="D137" s="191">
        <v>1155.3900000000001</v>
      </c>
      <c r="E137" s="191">
        <v>1182.94</v>
      </c>
      <c r="F137" s="191">
        <v>1105.1400000000001</v>
      </c>
      <c r="G137" t="s">
        <v>540</v>
      </c>
      <c r="H137" t="str">
        <f t="shared" si="8"/>
        <v>63.31</v>
      </c>
      <c r="I137">
        <f t="shared" si="9"/>
        <v>63310000</v>
      </c>
      <c r="J137">
        <f t="shared" si="10"/>
        <v>63.31</v>
      </c>
      <c r="K137" s="4">
        <v>-2.7300000000000001E-2</v>
      </c>
    </row>
    <row r="138" spans="2:11" x14ac:dyDescent="0.25">
      <c r="B138" s="190">
        <v>44927</v>
      </c>
      <c r="C138" s="191">
        <v>1151.57</v>
      </c>
      <c r="D138" s="191">
        <v>1157.52</v>
      </c>
      <c r="E138" s="191">
        <v>1170.68</v>
      </c>
      <c r="F138" s="191">
        <v>1136.6400000000001</v>
      </c>
      <c r="G138" t="s">
        <v>541</v>
      </c>
      <c r="H138" t="str">
        <f t="shared" si="8"/>
        <v>38.98</v>
      </c>
      <c r="I138">
        <f t="shared" si="9"/>
        <v>38980000</v>
      </c>
      <c r="J138">
        <f t="shared" si="10"/>
        <v>38.979999999999997</v>
      </c>
      <c r="K138" s="4">
        <v>-4.0000000000000001E-3</v>
      </c>
    </row>
    <row r="139" spans="2:11" x14ac:dyDescent="0.25">
      <c r="B139" s="190">
        <v>44920</v>
      </c>
      <c r="C139" s="191">
        <v>1156.25</v>
      </c>
      <c r="D139" s="191">
        <v>1141.52</v>
      </c>
      <c r="E139" s="191">
        <v>1169.78</v>
      </c>
      <c r="F139" s="191">
        <v>1131.3699999999999</v>
      </c>
      <c r="G139" t="s">
        <v>542</v>
      </c>
      <c r="H139" t="str">
        <f t="shared" si="8"/>
        <v>30.86</v>
      </c>
      <c r="I139">
        <f t="shared" si="9"/>
        <v>30860000</v>
      </c>
      <c r="J139">
        <f t="shared" si="10"/>
        <v>30.86</v>
      </c>
      <c r="K139" s="4">
        <v>1.7999999999999999E-2</v>
      </c>
    </row>
    <row r="140" spans="2:11" x14ac:dyDescent="0.25">
      <c r="B140" s="190">
        <v>44913</v>
      </c>
      <c r="C140" s="191">
        <v>1135.82</v>
      </c>
      <c r="D140" s="191">
        <v>1171.5899999999999</v>
      </c>
      <c r="E140" s="191">
        <v>1195.2</v>
      </c>
      <c r="F140" s="191">
        <v>1131.31</v>
      </c>
      <c r="G140" t="s">
        <v>543</v>
      </c>
      <c r="H140" t="str">
        <f t="shared" si="8"/>
        <v>38.24</v>
      </c>
      <c r="I140">
        <f t="shared" si="9"/>
        <v>38240000</v>
      </c>
      <c r="J140">
        <f t="shared" si="10"/>
        <v>38.24</v>
      </c>
      <c r="K140" s="4">
        <v>-2.47E-2</v>
      </c>
    </row>
    <row r="141" spans="2:11" x14ac:dyDescent="0.25">
      <c r="B141" s="190">
        <v>44906</v>
      </c>
      <c r="C141" s="191">
        <v>1164.5999999999999</v>
      </c>
      <c r="D141" s="191">
        <v>1173.6400000000001</v>
      </c>
      <c r="E141" s="191">
        <v>1197.9000000000001</v>
      </c>
      <c r="F141" s="191">
        <v>1161.22</v>
      </c>
      <c r="G141" t="s">
        <v>544</v>
      </c>
      <c r="H141" t="str">
        <f t="shared" si="8"/>
        <v>45.79</v>
      </c>
      <c r="I141">
        <f t="shared" si="9"/>
        <v>45790000</v>
      </c>
      <c r="J141">
        <f t="shared" si="10"/>
        <v>45.79</v>
      </c>
      <c r="K141" s="4">
        <v>-1.67E-2</v>
      </c>
    </row>
    <row r="142" spans="2:11" x14ac:dyDescent="0.25">
      <c r="B142" s="190">
        <v>44899</v>
      </c>
      <c r="C142" s="191">
        <v>1184.3499999999999</v>
      </c>
      <c r="D142" s="191">
        <v>1231.06</v>
      </c>
      <c r="E142" s="191">
        <v>1233.21</v>
      </c>
      <c r="F142" s="191">
        <v>1181.06</v>
      </c>
      <c r="G142" t="s">
        <v>545</v>
      </c>
      <c r="H142" t="str">
        <f t="shared" si="8"/>
        <v>48.27</v>
      </c>
      <c r="I142">
        <f t="shared" si="9"/>
        <v>48270000</v>
      </c>
      <c r="J142">
        <f t="shared" si="10"/>
        <v>48.27</v>
      </c>
      <c r="K142" s="4">
        <v>-4.1500000000000002E-2</v>
      </c>
    </row>
    <row r="143" spans="2:11" x14ac:dyDescent="0.25">
      <c r="B143" s="190">
        <v>44892</v>
      </c>
      <c r="C143" s="191">
        <v>1235.6600000000001</v>
      </c>
      <c r="D143" s="191">
        <v>1184.26</v>
      </c>
      <c r="E143" s="191">
        <v>1250.58</v>
      </c>
      <c r="F143" s="191">
        <v>1135.73</v>
      </c>
      <c r="G143" t="s">
        <v>546</v>
      </c>
      <c r="H143" t="str">
        <f t="shared" si="8"/>
        <v>82.91</v>
      </c>
      <c r="I143">
        <f t="shared" si="9"/>
        <v>82910000</v>
      </c>
      <c r="J143">
        <f t="shared" si="10"/>
        <v>82.91</v>
      </c>
      <c r="K143" s="4">
        <v>3.9899999999999998E-2</v>
      </c>
    </row>
    <row r="144" spans="2:11" x14ac:dyDescent="0.25">
      <c r="B144" s="190">
        <v>44885</v>
      </c>
      <c r="C144" s="191">
        <v>1188.21</v>
      </c>
      <c r="D144" s="191">
        <v>1174.77</v>
      </c>
      <c r="E144" s="191">
        <v>1191.52</v>
      </c>
      <c r="F144" s="191">
        <v>1151.3900000000001</v>
      </c>
      <c r="G144" t="s">
        <v>547</v>
      </c>
      <c r="H144" t="str">
        <f t="shared" si="8"/>
        <v>33.37</v>
      </c>
      <c r="I144">
        <f t="shared" si="9"/>
        <v>33369999.999999996</v>
      </c>
      <c r="J144">
        <f t="shared" si="10"/>
        <v>33.369999999999997</v>
      </c>
      <c r="K144" s="4">
        <v>7.7000000000000002E-3</v>
      </c>
    </row>
    <row r="145" spans="2:11" x14ac:dyDescent="0.25">
      <c r="B145" s="190">
        <v>44878</v>
      </c>
      <c r="C145" s="191">
        <v>1179.1500000000001</v>
      </c>
      <c r="D145" s="191">
        <v>1194.18</v>
      </c>
      <c r="E145" s="191">
        <v>1199.28</v>
      </c>
      <c r="F145" s="191">
        <v>1167.0999999999999</v>
      </c>
      <c r="G145" t="s">
        <v>548</v>
      </c>
      <c r="H145" t="str">
        <f t="shared" si="8"/>
        <v>34.90</v>
      </c>
      <c r="I145">
        <f t="shared" si="9"/>
        <v>34900000</v>
      </c>
      <c r="J145">
        <f t="shared" si="10"/>
        <v>34.9</v>
      </c>
      <c r="K145" s="4">
        <v>-1.2999999999999999E-2</v>
      </c>
    </row>
    <row r="146" spans="2:11" x14ac:dyDescent="0.25">
      <c r="B146" s="190">
        <v>44871</v>
      </c>
      <c r="C146" s="191">
        <v>1194.6500000000001</v>
      </c>
      <c r="D146" s="191">
        <v>1176.1300000000001</v>
      </c>
      <c r="E146" s="191">
        <v>1196.56</v>
      </c>
      <c r="F146" s="191">
        <v>1163.42</v>
      </c>
      <c r="G146" t="s">
        <v>549</v>
      </c>
      <c r="H146" t="str">
        <f t="shared" si="8"/>
        <v>38.14</v>
      </c>
      <c r="I146">
        <f t="shared" si="9"/>
        <v>38140000</v>
      </c>
      <c r="J146">
        <f t="shared" si="10"/>
        <v>38.14</v>
      </c>
      <c r="K146" s="4">
        <v>1.5100000000000001E-2</v>
      </c>
    </row>
    <row r="147" spans="2:11" x14ac:dyDescent="0.25">
      <c r="B147" s="190">
        <v>44864</v>
      </c>
      <c r="C147" s="191">
        <v>1176.93</v>
      </c>
      <c r="D147" s="191">
        <v>1153.44</v>
      </c>
      <c r="E147" s="191">
        <v>1180.22</v>
      </c>
      <c r="F147" s="191">
        <v>1138.45</v>
      </c>
      <c r="G147" t="s">
        <v>550</v>
      </c>
      <c r="H147" t="str">
        <f t="shared" si="8"/>
        <v>50.43</v>
      </c>
      <c r="I147">
        <f t="shared" si="9"/>
        <v>50430000</v>
      </c>
      <c r="J147">
        <f t="shared" si="10"/>
        <v>50.43</v>
      </c>
      <c r="K147" s="4">
        <v>2.64E-2</v>
      </c>
    </row>
    <row r="148" spans="2:11" x14ac:dyDescent="0.25">
      <c r="B148" s="190">
        <v>44857</v>
      </c>
      <c r="C148" s="191">
        <v>1146.69</v>
      </c>
      <c r="D148" s="191">
        <v>1116.67</v>
      </c>
      <c r="E148" s="191">
        <v>1150.71</v>
      </c>
      <c r="F148" s="191">
        <v>1104.32</v>
      </c>
      <c r="G148" t="s">
        <v>420</v>
      </c>
      <c r="H148" t="str">
        <f t="shared" si="8"/>
        <v>42.21</v>
      </c>
      <c r="I148">
        <f t="shared" si="9"/>
        <v>42210000</v>
      </c>
      <c r="J148">
        <f t="shared" si="10"/>
        <v>42.21</v>
      </c>
      <c r="K148" s="4">
        <v>2.2100000000000002E-2</v>
      </c>
    </row>
    <row r="149" spans="2:11" x14ac:dyDescent="0.25">
      <c r="B149" s="190">
        <v>44850</v>
      </c>
      <c r="C149" s="191">
        <v>1121.93</v>
      </c>
      <c r="D149" s="191">
        <v>1069</v>
      </c>
      <c r="E149" s="191">
        <v>1147.47</v>
      </c>
      <c r="F149" s="191">
        <v>1063.83</v>
      </c>
      <c r="G149" t="s">
        <v>551</v>
      </c>
      <c r="H149" t="str">
        <f t="shared" si="8"/>
        <v>60.32</v>
      </c>
      <c r="I149">
        <f t="shared" si="9"/>
        <v>60320000</v>
      </c>
      <c r="J149">
        <f t="shared" si="10"/>
        <v>60.32</v>
      </c>
      <c r="K149" s="4">
        <v>4.2599999999999999E-2</v>
      </c>
    </row>
    <row r="150" spans="2:11" x14ac:dyDescent="0.25">
      <c r="B150" s="190">
        <v>44843</v>
      </c>
      <c r="C150" s="191">
        <v>1076.1300000000001</v>
      </c>
      <c r="D150" s="191">
        <v>1091.7</v>
      </c>
      <c r="E150" s="191">
        <v>1097.42</v>
      </c>
      <c r="F150" s="191">
        <v>1063.5999999999999</v>
      </c>
      <c r="G150" t="s">
        <v>552</v>
      </c>
      <c r="H150" t="str">
        <f t="shared" si="8"/>
        <v>36.36</v>
      </c>
      <c r="I150">
        <f t="shared" si="9"/>
        <v>36360000</v>
      </c>
      <c r="J150">
        <f t="shared" si="10"/>
        <v>36.36</v>
      </c>
      <c r="K150" s="4">
        <v>-2.53E-2</v>
      </c>
    </row>
    <row r="151" spans="2:11" x14ac:dyDescent="0.25">
      <c r="B151" s="190">
        <v>44836</v>
      </c>
      <c r="C151" s="191">
        <v>1104.1099999999999</v>
      </c>
      <c r="D151" s="191">
        <v>1085.57</v>
      </c>
      <c r="E151" s="191">
        <v>1112.1300000000001</v>
      </c>
      <c r="F151" s="191">
        <v>1072.6400000000001</v>
      </c>
      <c r="G151" t="s">
        <v>553</v>
      </c>
      <c r="H151" t="str">
        <f t="shared" si="8"/>
        <v>38.64</v>
      </c>
      <c r="I151">
        <f t="shared" si="9"/>
        <v>38640000</v>
      </c>
      <c r="J151">
        <f t="shared" si="10"/>
        <v>38.64</v>
      </c>
      <c r="K151" s="4">
        <v>2.3E-2</v>
      </c>
    </row>
    <row r="152" spans="2:11" x14ac:dyDescent="0.25">
      <c r="B152" s="190">
        <v>44829</v>
      </c>
      <c r="C152" s="191">
        <v>1079.33</v>
      </c>
      <c r="D152" s="191">
        <v>1086.73</v>
      </c>
      <c r="E152" s="191">
        <v>1101.23</v>
      </c>
      <c r="F152" s="191">
        <v>1049.03</v>
      </c>
      <c r="G152" t="s">
        <v>554</v>
      </c>
      <c r="H152" t="str">
        <f t="shared" si="8"/>
        <v>72.84</v>
      </c>
      <c r="I152">
        <f t="shared" si="9"/>
        <v>72840000</v>
      </c>
      <c r="J152">
        <f t="shared" si="10"/>
        <v>72.84</v>
      </c>
      <c r="K152" s="4">
        <v>-2.53E-2</v>
      </c>
    </row>
    <row r="153" spans="2:11" x14ac:dyDescent="0.25">
      <c r="B153" s="190">
        <v>44822</v>
      </c>
      <c r="C153" s="191">
        <v>1107.3599999999999</v>
      </c>
      <c r="D153" s="191">
        <v>1134.46</v>
      </c>
      <c r="E153" s="191">
        <v>1151.94</v>
      </c>
      <c r="F153" s="191">
        <v>1105.82</v>
      </c>
      <c r="G153" t="s">
        <v>555</v>
      </c>
      <c r="H153" t="str">
        <f t="shared" si="8"/>
        <v>41.57</v>
      </c>
      <c r="I153">
        <f t="shared" si="9"/>
        <v>41570000</v>
      </c>
      <c r="J153">
        <f t="shared" si="10"/>
        <v>41.57</v>
      </c>
      <c r="K153" s="4">
        <v>-2.3900000000000001E-2</v>
      </c>
    </row>
    <row r="154" spans="2:11" x14ac:dyDescent="0.25">
      <c r="B154" s="190">
        <v>44815</v>
      </c>
      <c r="C154" s="191">
        <v>1134.46</v>
      </c>
      <c r="D154" s="191">
        <v>1166.8499999999999</v>
      </c>
      <c r="E154" s="191">
        <v>1193.7</v>
      </c>
      <c r="F154" s="191">
        <v>1130.74</v>
      </c>
      <c r="G154" t="s">
        <v>556</v>
      </c>
      <c r="H154" t="str">
        <f t="shared" si="8"/>
        <v>51.31</v>
      </c>
      <c r="I154">
        <f t="shared" si="9"/>
        <v>51310000</v>
      </c>
      <c r="J154">
        <f t="shared" si="10"/>
        <v>51.31</v>
      </c>
      <c r="K154" s="4">
        <v>-2.7300000000000001E-2</v>
      </c>
    </row>
    <row r="155" spans="2:11" x14ac:dyDescent="0.25">
      <c r="B155" s="190">
        <v>44808</v>
      </c>
      <c r="C155" s="191">
        <v>1166.28</v>
      </c>
      <c r="D155" s="191">
        <v>1148.9000000000001</v>
      </c>
      <c r="E155" s="191">
        <v>1184.76</v>
      </c>
      <c r="F155" s="191">
        <v>1148.9000000000001</v>
      </c>
      <c r="G155" t="s">
        <v>557</v>
      </c>
      <c r="H155" t="str">
        <f t="shared" si="8"/>
        <v>41.62</v>
      </c>
      <c r="I155">
        <f t="shared" si="9"/>
        <v>41620000</v>
      </c>
      <c r="J155">
        <f t="shared" si="10"/>
        <v>41.62</v>
      </c>
      <c r="K155" s="4">
        <v>1.5299999999999999E-2</v>
      </c>
    </row>
    <row r="156" spans="2:11" x14ac:dyDescent="0.25">
      <c r="B156" s="190">
        <v>44801</v>
      </c>
      <c r="C156" s="191">
        <v>1148.67</v>
      </c>
      <c r="D156" s="191">
        <v>1173.4100000000001</v>
      </c>
      <c r="E156" s="191">
        <v>1205.18</v>
      </c>
      <c r="F156" s="191">
        <v>1146.49</v>
      </c>
      <c r="G156" t="s">
        <v>558</v>
      </c>
      <c r="H156" t="str">
        <f t="shared" si="8"/>
        <v>70.04</v>
      </c>
      <c r="I156">
        <f t="shared" si="9"/>
        <v>70040000</v>
      </c>
      <c r="J156">
        <f t="shared" si="10"/>
        <v>70.040000000000006</v>
      </c>
      <c r="K156" s="4">
        <v>-3.3399999999999999E-2</v>
      </c>
    </row>
    <row r="157" spans="2:11" x14ac:dyDescent="0.25">
      <c r="B157" s="190">
        <v>44794</v>
      </c>
      <c r="C157" s="191">
        <v>1188.3900000000001</v>
      </c>
      <c r="D157" s="191">
        <v>1187.93</v>
      </c>
      <c r="E157" s="191">
        <v>1211.99</v>
      </c>
      <c r="F157" s="191">
        <v>1173.8599999999999</v>
      </c>
      <c r="G157" t="s">
        <v>559</v>
      </c>
      <c r="H157" t="str">
        <f t="shared" si="8"/>
        <v>44.43</v>
      </c>
      <c r="I157">
        <f t="shared" si="9"/>
        <v>44430000</v>
      </c>
      <c r="J157">
        <f t="shared" si="10"/>
        <v>44.43</v>
      </c>
      <c r="K157" s="4">
        <v>1.6000000000000001E-3</v>
      </c>
    </row>
    <row r="158" spans="2:11" x14ac:dyDescent="0.25">
      <c r="B158" s="190">
        <v>44787</v>
      </c>
      <c r="C158" s="191">
        <v>1186.5</v>
      </c>
      <c r="D158" s="191">
        <v>1201.19</v>
      </c>
      <c r="E158" s="191">
        <v>1215.1199999999999</v>
      </c>
      <c r="F158" s="191">
        <v>1182.46</v>
      </c>
      <c r="G158" t="s">
        <v>560</v>
      </c>
      <c r="H158" t="str">
        <f t="shared" si="8"/>
        <v>27.76</v>
      </c>
      <c r="I158">
        <f t="shared" si="9"/>
        <v>27760000</v>
      </c>
      <c r="J158">
        <f t="shared" si="10"/>
        <v>27.76</v>
      </c>
      <c r="K158" s="4">
        <v>-7.3000000000000001E-3</v>
      </c>
    </row>
    <row r="159" spans="2:11" x14ac:dyDescent="0.25">
      <c r="B159" s="190">
        <v>44780</v>
      </c>
      <c r="C159" s="191">
        <v>1195.2</v>
      </c>
      <c r="D159" s="191">
        <v>1148.9000000000001</v>
      </c>
      <c r="E159" s="191">
        <v>1198.99</v>
      </c>
      <c r="F159" s="191">
        <v>1148.9000000000001</v>
      </c>
      <c r="G159" t="s">
        <v>561</v>
      </c>
      <c r="H159" t="str">
        <f t="shared" si="8"/>
        <v>38.53</v>
      </c>
      <c r="I159">
        <f t="shared" si="9"/>
        <v>38530000</v>
      </c>
      <c r="J159">
        <f t="shared" si="10"/>
        <v>38.53</v>
      </c>
      <c r="K159" s="4">
        <v>3.9100000000000003E-2</v>
      </c>
    </row>
    <row r="160" spans="2:11" x14ac:dyDescent="0.25">
      <c r="B160" s="190">
        <v>44773</v>
      </c>
      <c r="C160" s="191">
        <v>1150.26</v>
      </c>
      <c r="D160" s="191">
        <v>1143.52</v>
      </c>
      <c r="E160" s="191">
        <v>1188.27</v>
      </c>
      <c r="F160" s="191">
        <v>1138.27</v>
      </c>
      <c r="G160" t="s">
        <v>562</v>
      </c>
      <c r="H160" t="str">
        <f t="shared" si="8"/>
        <v>66.71</v>
      </c>
      <c r="I160">
        <f t="shared" si="9"/>
        <v>66709999.999999993</v>
      </c>
      <c r="J160">
        <f t="shared" si="10"/>
        <v>66.709999999999994</v>
      </c>
      <c r="K160" s="4">
        <v>9.7999999999999997E-3</v>
      </c>
    </row>
    <row r="161" spans="2:11" x14ac:dyDescent="0.25">
      <c r="B161" s="190">
        <v>44766</v>
      </c>
      <c r="C161" s="191">
        <v>1139.1099999999999</v>
      </c>
      <c r="D161" s="191">
        <v>1120.05</v>
      </c>
      <c r="E161" s="191">
        <v>1142.5899999999999</v>
      </c>
      <c r="F161" s="191">
        <v>1090.3399999999999</v>
      </c>
      <c r="G161" t="s">
        <v>563</v>
      </c>
      <c r="H161" t="str">
        <f t="shared" si="8"/>
        <v>65.25</v>
      </c>
      <c r="I161">
        <f t="shared" si="9"/>
        <v>65250000</v>
      </c>
      <c r="J161">
        <f t="shared" si="10"/>
        <v>65.25</v>
      </c>
      <c r="K161" s="4">
        <v>2.5000000000000001E-3</v>
      </c>
    </row>
    <row r="162" spans="2:11" x14ac:dyDescent="0.25">
      <c r="B162" s="190">
        <v>44759</v>
      </c>
      <c r="C162" s="191">
        <v>1136.23</v>
      </c>
      <c r="D162" s="191">
        <v>1098.96</v>
      </c>
      <c r="E162" s="191">
        <v>1154.1199999999999</v>
      </c>
      <c r="F162" s="191">
        <v>1085.94</v>
      </c>
      <c r="G162" t="s">
        <v>564</v>
      </c>
      <c r="H162" t="str">
        <f t="shared" si="8"/>
        <v>76.63</v>
      </c>
      <c r="I162">
        <f t="shared" si="9"/>
        <v>76630000</v>
      </c>
      <c r="J162">
        <f t="shared" si="10"/>
        <v>76.63</v>
      </c>
      <c r="K162" s="4">
        <v>4.2200000000000001E-2</v>
      </c>
    </row>
    <row r="163" spans="2:11" x14ac:dyDescent="0.25">
      <c r="B163" s="190">
        <v>44752</v>
      </c>
      <c r="C163" s="191">
        <v>1090.25</v>
      </c>
      <c r="D163" s="191">
        <v>1078.76</v>
      </c>
      <c r="E163" s="191">
        <v>1107.45</v>
      </c>
      <c r="F163" s="191">
        <v>1075.81</v>
      </c>
      <c r="G163" t="s">
        <v>565</v>
      </c>
      <c r="H163" t="str">
        <f t="shared" si="8"/>
        <v>60.39</v>
      </c>
      <c r="I163">
        <f t="shared" si="9"/>
        <v>60390000</v>
      </c>
      <c r="J163">
        <f t="shared" si="10"/>
        <v>60.39</v>
      </c>
      <c r="K163" s="4">
        <v>4.3E-3</v>
      </c>
    </row>
    <row r="164" spans="2:11" x14ac:dyDescent="0.25">
      <c r="B164" s="190">
        <v>44745</v>
      </c>
      <c r="C164" s="191">
        <v>1085.53</v>
      </c>
      <c r="D164" s="191">
        <v>1079.8800000000001</v>
      </c>
      <c r="E164" s="191">
        <v>1118.8900000000001</v>
      </c>
      <c r="F164" s="191">
        <v>1074.04</v>
      </c>
      <c r="G164" t="s">
        <v>566</v>
      </c>
      <c r="H164" t="str">
        <f t="shared" si="8"/>
        <v>116.08</v>
      </c>
      <c r="I164">
        <f t="shared" si="9"/>
        <v>116080000</v>
      </c>
      <c r="J164">
        <f t="shared" si="10"/>
        <v>116.08</v>
      </c>
      <c r="K164" s="4">
        <v>-7.1999999999999998E-3</v>
      </c>
    </row>
    <row r="165" spans="2:11" x14ac:dyDescent="0.25">
      <c r="B165" s="190">
        <v>44738</v>
      </c>
      <c r="C165" s="191">
        <v>1093.3800000000001</v>
      </c>
      <c r="D165" s="191">
        <v>1155.23</v>
      </c>
      <c r="E165" s="191">
        <v>1187.43</v>
      </c>
      <c r="F165" s="191">
        <v>1073.54</v>
      </c>
      <c r="G165" t="s">
        <v>567</v>
      </c>
      <c r="H165" t="str">
        <f t="shared" si="8"/>
        <v>141.55</v>
      </c>
      <c r="I165">
        <f t="shared" si="9"/>
        <v>141550000</v>
      </c>
      <c r="J165">
        <f t="shared" si="10"/>
        <v>141.55000000000001</v>
      </c>
      <c r="K165" s="4">
        <v>-3.6499999999999998E-2</v>
      </c>
    </row>
    <row r="166" spans="2:11" x14ac:dyDescent="0.25">
      <c r="B166" s="190">
        <v>44731</v>
      </c>
      <c r="C166" s="191">
        <v>1134.8499999999999</v>
      </c>
      <c r="D166" s="191">
        <v>1182.49</v>
      </c>
      <c r="E166" s="191">
        <v>1187.98</v>
      </c>
      <c r="F166" s="191">
        <v>1109.8599999999999</v>
      </c>
      <c r="G166" t="s">
        <v>568</v>
      </c>
      <c r="H166" t="str">
        <f t="shared" si="8"/>
        <v>62.85</v>
      </c>
      <c r="I166">
        <f t="shared" si="9"/>
        <v>62850000</v>
      </c>
      <c r="J166">
        <f t="shared" si="10"/>
        <v>62.85</v>
      </c>
      <c r="K166" s="4">
        <v>-3.4700000000000002E-2</v>
      </c>
    </row>
    <row r="167" spans="2:11" x14ac:dyDescent="0.25">
      <c r="B167" s="190">
        <v>44724</v>
      </c>
      <c r="C167" s="191">
        <v>1175.68</v>
      </c>
      <c r="D167" s="191">
        <v>1202.9100000000001</v>
      </c>
      <c r="E167" s="191">
        <v>1213.26</v>
      </c>
      <c r="F167" s="191">
        <v>1159.3399999999999</v>
      </c>
      <c r="G167" t="s">
        <v>569</v>
      </c>
      <c r="H167" t="str">
        <f t="shared" si="8"/>
        <v>78.55</v>
      </c>
      <c r="I167">
        <f t="shared" si="9"/>
        <v>78550000</v>
      </c>
      <c r="J167">
        <f t="shared" si="10"/>
        <v>78.55</v>
      </c>
      <c r="K167" s="4">
        <v>-4.58E-2</v>
      </c>
    </row>
    <row r="168" spans="2:11" x14ac:dyDescent="0.25">
      <c r="B168" s="190">
        <v>44717</v>
      </c>
      <c r="C168" s="191">
        <v>1232.08</v>
      </c>
      <c r="D168" s="191">
        <v>1261.92</v>
      </c>
      <c r="E168" s="191">
        <v>1277.3599999999999</v>
      </c>
      <c r="F168" s="191">
        <v>1226.29</v>
      </c>
      <c r="G168" t="s">
        <v>570</v>
      </c>
      <c r="H168" t="str">
        <f t="shared" si="8"/>
        <v>65.81</v>
      </c>
      <c r="I168">
        <f t="shared" si="9"/>
        <v>65810000</v>
      </c>
      <c r="J168">
        <f t="shared" si="10"/>
        <v>65.81</v>
      </c>
      <c r="K168" s="4">
        <v>-2.35E-2</v>
      </c>
    </row>
    <row r="169" spans="2:11" x14ac:dyDescent="0.25">
      <c r="B169" s="190">
        <v>44710</v>
      </c>
      <c r="C169" s="191">
        <v>1261.7</v>
      </c>
      <c r="D169" s="191">
        <v>1187.03</v>
      </c>
      <c r="E169" s="191">
        <v>1278.8800000000001</v>
      </c>
      <c r="F169" s="191">
        <v>1177.58</v>
      </c>
      <c r="G169" t="s">
        <v>571</v>
      </c>
      <c r="H169" t="str">
        <f t="shared" si="8"/>
        <v>129.51</v>
      </c>
      <c r="I169">
        <f t="shared" si="9"/>
        <v>129509999.99999999</v>
      </c>
      <c r="J169">
        <f t="shared" si="10"/>
        <v>129.51</v>
      </c>
      <c r="K169" s="4">
        <v>7.9399999999999998E-2</v>
      </c>
    </row>
    <row r="170" spans="2:11" x14ac:dyDescent="0.25">
      <c r="B170" s="190">
        <v>44703</v>
      </c>
      <c r="C170" s="191">
        <v>1168.9100000000001</v>
      </c>
      <c r="D170" s="191">
        <v>1194.52</v>
      </c>
      <c r="E170" s="191">
        <v>1205.95</v>
      </c>
      <c r="F170" s="191">
        <v>1153.03</v>
      </c>
      <c r="G170" t="s">
        <v>572</v>
      </c>
      <c r="H170" t="str">
        <f t="shared" si="8"/>
        <v>70.06</v>
      </c>
      <c r="I170">
        <f t="shared" si="9"/>
        <v>70060000</v>
      </c>
      <c r="J170">
        <f t="shared" si="10"/>
        <v>70.06</v>
      </c>
      <c r="K170" s="4">
        <v>-1.8800000000000001E-2</v>
      </c>
    </row>
    <row r="171" spans="2:11" x14ac:dyDescent="0.25">
      <c r="B171" s="190">
        <v>44696</v>
      </c>
      <c r="C171" s="191">
        <v>1191.31</v>
      </c>
      <c r="D171" s="191">
        <v>1105.07</v>
      </c>
      <c r="E171" s="191">
        <v>1200.3699999999999</v>
      </c>
      <c r="F171" s="191">
        <v>1096.99</v>
      </c>
      <c r="G171" t="s">
        <v>573</v>
      </c>
      <c r="H171" t="str">
        <f t="shared" si="8"/>
        <v>77.31</v>
      </c>
      <c r="I171">
        <f t="shared" si="9"/>
        <v>77310000</v>
      </c>
      <c r="J171">
        <f t="shared" si="10"/>
        <v>77.31</v>
      </c>
      <c r="K171" s="4">
        <v>8.1500000000000003E-2</v>
      </c>
    </row>
    <row r="172" spans="2:11" x14ac:dyDescent="0.25">
      <c r="B172" s="190">
        <v>44689</v>
      </c>
      <c r="C172" s="191">
        <v>1101.51</v>
      </c>
      <c r="D172" s="191">
        <v>1168.8499999999999</v>
      </c>
      <c r="E172" s="191">
        <v>1178.9000000000001</v>
      </c>
      <c r="F172" s="191">
        <v>1075.81</v>
      </c>
      <c r="G172" t="s">
        <v>574</v>
      </c>
      <c r="H172" t="str">
        <f t="shared" si="8"/>
        <v>86.80</v>
      </c>
      <c r="I172">
        <f t="shared" si="9"/>
        <v>86800000</v>
      </c>
      <c r="J172">
        <f t="shared" si="10"/>
        <v>86.8</v>
      </c>
      <c r="K172" s="4">
        <v>-7.3999999999999996E-2</v>
      </c>
    </row>
    <row r="173" spans="2:11" x14ac:dyDescent="0.25">
      <c r="B173" s="190">
        <v>44682</v>
      </c>
      <c r="C173" s="191">
        <v>1189.5899999999999</v>
      </c>
      <c r="D173" s="191">
        <v>1253.75</v>
      </c>
      <c r="E173" s="191">
        <v>1273.5</v>
      </c>
      <c r="F173" s="191">
        <v>1177.29</v>
      </c>
      <c r="G173" t="s">
        <v>575</v>
      </c>
      <c r="H173" t="str">
        <f t="shared" si="8"/>
        <v>60.53</v>
      </c>
      <c r="I173">
        <f t="shared" si="9"/>
        <v>60530000</v>
      </c>
      <c r="J173">
        <f t="shared" si="10"/>
        <v>60.53</v>
      </c>
      <c r="K173" s="4">
        <v>-6.08E-2</v>
      </c>
    </row>
    <row r="174" spans="2:11" x14ac:dyDescent="0.25">
      <c r="B174" s="190">
        <v>44675</v>
      </c>
      <c r="C174" s="191">
        <v>1266.58</v>
      </c>
      <c r="D174" s="191">
        <v>1244.8599999999999</v>
      </c>
      <c r="E174" s="191">
        <v>1296.49</v>
      </c>
      <c r="F174" s="191">
        <v>1209.1099999999999</v>
      </c>
      <c r="G174" t="s">
        <v>576</v>
      </c>
      <c r="H174" t="str">
        <f t="shared" si="8"/>
        <v>85.34</v>
      </c>
      <c r="I174">
        <f t="shared" si="9"/>
        <v>85340000</v>
      </c>
      <c r="J174">
        <f t="shared" si="10"/>
        <v>85.34</v>
      </c>
      <c r="K174" s="4">
        <v>1.14E-2</v>
      </c>
    </row>
    <row r="175" spans="2:11" x14ac:dyDescent="0.25">
      <c r="B175" s="190">
        <v>44668</v>
      </c>
      <c r="C175" s="191">
        <v>1252.3</v>
      </c>
      <c r="D175" s="191">
        <v>1149.8</v>
      </c>
      <c r="E175" s="191">
        <v>1271.9100000000001</v>
      </c>
      <c r="F175" s="191">
        <v>1144.72</v>
      </c>
      <c r="G175" t="s">
        <v>577</v>
      </c>
      <c r="H175" t="str">
        <f t="shared" si="8"/>
        <v>90.41</v>
      </c>
      <c r="I175">
        <f t="shared" si="9"/>
        <v>90410000</v>
      </c>
      <c r="J175">
        <f t="shared" si="10"/>
        <v>90.41</v>
      </c>
      <c r="K175" s="4">
        <v>8.1199999999999994E-2</v>
      </c>
    </row>
    <row r="176" spans="2:11" x14ac:dyDescent="0.25">
      <c r="B176" s="190">
        <v>44661</v>
      </c>
      <c r="C176" s="191">
        <v>1158.27</v>
      </c>
      <c r="D176" s="191">
        <v>1180.22</v>
      </c>
      <c r="E176" s="191">
        <v>1197.72</v>
      </c>
      <c r="F176" s="191">
        <v>1155.48</v>
      </c>
      <c r="G176" t="s">
        <v>578</v>
      </c>
      <c r="H176" t="str">
        <f t="shared" si="8"/>
        <v>30.30</v>
      </c>
      <c r="I176">
        <f t="shared" si="9"/>
        <v>30300000</v>
      </c>
      <c r="J176">
        <f t="shared" si="10"/>
        <v>30.3</v>
      </c>
      <c r="K176" s="4">
        <v>-2.4500000000000001E-2</v>
      </c>
    </row>
    <row r="177" spans="2:11" x14ac:dyDescent="0.25">
      <c r="B177" s="190">
        <v>44654</v>
      </c>
      <c r="C177" s="191">
        <v>1187.32</v>
      </c>
      <c r="D177" s="191">
        <v>1205.3900000000001</v>
      </c>
      <c r="E177" s="191">
        <v>1214.26</v>
      </c>
      <c r="F177" s="191">
        <v>1162.06</v>
      </c>
      <c r="G177" t="s">
        <v>579</v>
      </c>
      <c r="H177" t="str">
        <f t="shared" si="8"/>
        <v>59.06</v>
      </c>
      <c r="I177">
        <f t="shared" si="9"/>
        <v>59060000</v>
      </c>
      <c r="J177">
        <f t="shared" si="10"/>
        <v>59.06</v>
      </c>
      <c r="K177" s="4">
        <v>-1.5100000000000001E-2</v>
      </c>
    </row>
    <row r="178" spans="2:11" x14ac:dyDescent="0.25">
      <c r="B178" s="190">
        <v>44647</v>
      </c>
      <c r="C178" s="191">
        <v>1205.57</v>
      </c>
      <c r="D178" s="191">
        <v>1184.76</v>
      </c>
      <c r="E178" s="191">
        <v>1220.1600000000001</v>
      </c>
      <c r="F178" s="191">
        <v>1174.0899999999999</v>
      </c>
      <c r="G178" t="s">
        <v>580</v>
      </c>
      <c r="H178" t="str">
        <f t="shared" si="8"/>
        <v>51.26</v>
      </c>
      <c r="I178">
        <f t="shared" si="9"/>
        <v>51260000</v>
      </c>
      <c r="J178">
        <f t="shared" si="10"/>
        <v>51.26</v>
      </c>
      <c r="K178" s="4">
        <v>2.3099999999999999E-2</v>
      </c>
    </row>
    <row r="179" spans="2:11" x14ac:dyDescent="0.25">
      <c r="B179" s="190">
        <v>44640</v>
      </c>
      <c r="C179" s="191">
        <v>1178.33</v>
      </c>
      <c r="D179" s="191">
        <v>1109.4000000000001</v>
      </c>
      <c r="E179" s="191">
        <v>1187.48</v>
      </c>
      <c r="F179" s="191">
        <v>1107.1300000000001</v>
      </c>
      <c r="G179" t="s">
        <v>581</v>
      </c>
      <c r="H179" t="str">
        <f t="shared" si="8"/>
        <v>71.45</v>
      </c>
      <c r="I179">
        <f t="shared" si="9"/>
        <v>71450000</v>
      </c>
      <c r="J179">
        <f t="shared" si="10"/>
        <v>71.45</v>
      </c>
      <c r="K179" s="4">
        <v>4.5999999999999999E-2</v>
      </c>
    </row>
    <row r="180" spans="2:11" x14ac:dyDescent="0.25">
      <c r="B180" s="190">
        <v>44633</v>
      </c>
      <c r="C180" s="191">
        <v>1126.52</v>
      </c>
      <c r="D180" s="191">
        <v>1083.48</v>
      </c>
      <c r="E180" s="191">
        <v>1133.6400000000001</v>
      </c>
      <c r="F180" s="191">
        <v>1062.58</v>
      </c>
      <c r="G180" t="s">
        <v>582</v>
      </c>
      <c r="H180" t="str">
        <f t="shared" si="8"/>
        <v>52.46</v>
      </c>
      <c r="I180">
        <f t="shared" si="9"/>
        <v>52460000</v>
      </c>
      <c r="J180">
        <f t="shared" si="10"/>
        <v>52.46</v>
      </c>
      <c r="K180" s="4">
        <v>3.44E-2</v>
      </c>
    </row>
    <row r="181" spans="2:11" x14ac:dyDescent="0.25">
      <c r="B181" s="190">
        <v>44626</v>
      </c>
      <c r="C181" s="191">
        <v>1089.05</v>
      </c>
      <c r="D181" s="191">
        <v>1034.3699999999999</v>
      </c>
      <c r="E181" s="191">
        <v>1094.42</v>
      </c>
      <c r="F181">
        <v>989.57</v>
      </c>
      <c r="G181" t="s">
        <v>583</v>
      </c>
      <c r="H181" t="str">
        <f t="shared" si="8"/>
        <v>83.00</v>
      </c>
      <c r="I181">
        <f t="shared" si="9"/>
        <v>83000000</v>
      </c>
      <c r="J181">
        <f t="shared" si="10"/>
        <v>83</v>
      </c>
      <c r="K181" s="4">
        <v>3.1600000000000003E-2</v>
      </c>
    </row>
    <row r="182" spans="2:11" x14ac:dyDescent="0.25">
      <c r="B182" s="190">
        <v>44619</v>
      </c>
      <c r="C182" s="191">
        <v>1055.6400000000001</v>
      </c>
      <c r="D182" s="191">
        <v>1018.16</v>
      </c>
      <c r="E182" s="191">
        <v>1096.17</v>
      </c>
      <c r="F182" s="191">
        <v>1018.16</v>
      </c>
      <c r="G182" t="s">
        <v>584</v>
      </c>
      <c r="H182" t="str">
        <f t="shared" si="8"/>
        <v>58.85</v>
      </c>
      <c r="I182">
        <f t="shared" si="9"/>
        <v>58850000</v>
      </c>
      <c r="J182">
        <f t="shared" si="10"/>
        <v>58.85</v>
      </c>
      <c r="K182" s="4">
        <v>1.8200000000000001E-2</v>
      </c>
    </row>
    <row r="183" spans="2:11" x14ac:dyDescent="0.25">
      <c r="B183" s="190">
        <v>44612</v>
      </c>
      <c r="C183" s="191">
        <v>1036.75</v>
      </c>
      <c r="D183" s="191">
        <v>1094.8800000000001</v>
      </c>
      <c r="E183" s="191">
        <v>1106.45</v>
      </c>
      <c r="F183" s="191">
        <v>1018.34</v>
      </c>
      <c r="G183" t="s">
        <v>585</v>
      </c>
      <c r="H183" t="str">
        <f t="shared" si="8"/>
        <v>65.84</v>
      </c>
      <c r="I183">
        <f t="shared" si="9"/>
        <v>65840000</v>
      </c>
      <c r="J183">
        <f t="shared" si="10"/>
        <v>65.84</v>
      </c>
      <c r="K183" s="4">
        <v>-5.79E-2</v>
      </c>
    </row>
    <row r="184" spans="2:11" x14ac:dyDescent="0.25">
      <c r="B184" s="190">
        <v>44605</v>
      </c>
      <c r="C184" s="191">
        <v>1100.51</v>
      </c>
      <c r="D184" s="191">
        <v>1062.31</v>
      </c>
      <c r="E184" s="191">
        <v>1115.03</v>
      </c>
      <c r="F184" s="191">
        <v>1049.94</v>
      </c>
      <c r="G184" t="s">
        <v>586</v>
      </c>
      <c r="H184" t="str">
        <f t="shared" si="8"/>
        <v>47.95</v>
      </c>
      <c r="I184">
        <f t="shared" si="9"/>
        <v>47950000</v>
      </c>
      <c r="J184">
        <f t="shared" si="10"/>
        <v>47.95</v>
      </c>
      <c r="K184" s="4">
        <v>2.0199999999999999E-2</v>
      </c>
    </row>
    <row r="185" spans="2:11" x14ac:dyDescent="0.25">
      <c r="B185" s="190">
        <v>44598</v>
      </c>
      <c r="C185" s="191">
        <v>1078.72</v>
      </c>
      <c r="D185" s="191">
        <v>1063.0999999999999</v>
      </c>
      <c r="E185" s="191">
        <v>1087.48</v>
      </c>
      <c r="F185" s="191">
        <v>1046.31</v>
      </c>
      <c r="G185" t="s">
        <v>587</v>
      </c>
      <c r="H185" t="str">
        <f t="shared" si="8"/>
        <v>57.84</v>
      </c>
      <c r="I185">
        <f t="shared" si="9"/>
        <v>57840000</v>
      </c>
      <c r="J185">
        <f t="shared" si="10"/>
        <v>57.84</v>
      </c>
      <c r="K185" s="4">
        <v>1.9300000000000001E-2</v>
      </c>
    </row>
    <row r="186" spans="2:11" x14ac:dyDescent="0.25">
      <c r="B186" s="190">
        <v>44591</v>
      </c>
      <c r="C186" s="191">
        <v>1058.25</v>
      </c>
      <c r="D186" s="191">
        <v>1071.3599999999999</v>
      </c>
      <c r="E186" s="191">
        <v>1098.78</v>
      </c>
      <c r="F186" s="191">
        <v>1053.6199999999999</v>
      </c>
      <c r="G186" t="s">
        <v>588</v>
      </c>
      <c r="H186" t="str">
        <f t="shared" si="8"/>
        <v>51.68</v>
      </c>
      <c r="I186">
        <f t="shared" si="9"/>
        <v>51680000</v>
      </c>
      <c r="J186">
        <f t="shared" si="10"/>
        <v>51.68</v>
      </c>
      <c r="K186" s="4">
        <v>-1.9E-3</v>
      </c>
    </row>
    <row r="187" spans="2:11" x14ac:dyDescent="0.25">
      <c r="B187" s="190">
        <v>44584</v>
      </c>
      <c r="C187" s="191">
        <v>1060.31</v>
      </c>
      <c r="D187" s="191">
        <v>1123.48</v>
      </c>
      <c r="E187" s="191">
        <v>1136.98</v>
      </c>
      <c r="F187" s="191">
        <v>1046.31</v>
      </c>
      <c r="G187" t="s">
        <v>589</v>
      </c>
      <c r="H187" t="str">
        <f t="shared" si="8"/>
        <v>74.83</v>
      </c>
      <c r="I187">
        <f t="shared" si="9"/>
        <v>74830000</v>
      </c>
      <c r="J187">
        <f t="shared" si="10"/>
        <v>74.83</v>
      </c>
      <c r="K187" s="4">
        <v>-5.7299999999999997E-2</v>
      </c>
    </row>
    <row r="188" spans="2:11" x14ac:dyDescent="0.25">
      <c r="B188" s="190">
        <v>44577</v>
      </c>
      <c r="C188" s="191">
        <v>1124.77</v>
      </c>
      <c r="D188" s="191">
        <v>1152.07</v>
      </c>
      <c r="E188" s="191">
        <v>1164.33</v>
      </c>
      <c r="F188" s="191">
        <v>1113.04</v>
      </c>
      <c r="G188" t="s">
        <v>590</v>
      </c>
      <c r="H188" t="str">
        <f t="shared" si="8"/>
        <v>49.69</v>
      </c>
      <c r="I188">
        <f t="shared" si="9"/>
        <v>49690000</v>
      </c>
      <c r="J188">
        <f t="shared" si="10"/>
        <v>49.69</v>
      </c>
      <c r="K188" s="4">
        <v>-2.41E-2</v>
      </c>
    </row>
    <row r="189" spans="2:11" x14ac:dyDescent="0.25">
      <c r="B189" s="190">
        <v>44570</v>
      </c>
      <c r="C189" s="191">
        <v>1152.53</v>
      </c>
      <c r="D189" s="191">
        <v>1113.04</v>
      </c>
      <c r="E189" s="191">
        <v>1165.3699999999999</v>
      </c>
      <c r="F189" s="191">
        <v>1096.72</v>
      </c>
      <c r="G189" t="s">
        <v>591</v>
      </c>
      <c r="H189" t="str">
        <f t="shared" si="8"/>
        <v>66.49</v>
      </c>
      <c r="I189">
        <f t="shared" si="9"/>
        <v>66489999.999999993</v>
      </c>
      <c r="J189">
        <f t="shared" si="10"/>
        <v>66.489999999999995</v>
      </c>
      <c r="K189" s="4">
        <v>4.2299999999999997E-2</v>
      </c>
    </row>
    <row r="190" spans="2:11" x14ac:dyDescent="0.25">
      <c r="B190" s="190">
        <v>44563</v>
      </c>
      <c r="C190" s="191">
        <v>1105.77</v>
      </c>
      <c r="D190" s="191">
        <v>1073.54</v>
      </c>
      <c r="E190" s="191">
        <v>1124.3800000000001</v>
      </c>
      <c r="F190" s="191">
        <v>1072.8900000000001</v>
      </c>
      <c r="G190" t="s">
        <v>592</v>
      </c>
      <c r="H190" t="str">
        <f t="shared" si="8"/>
        <v>51.20</v>
      </c>
      <c r="I190">
        <f t="shared" si="9"/>
        <v>51200000</v>
      </c>
      <c r="J190">
        <f t="shared" si="10"/>
        <v>51.2</v>
      </c>
      <c r="K190" s="4">
        <v>2.87E-2</v>
      </c>
    </row>
    <row r="191" spans="2:11" x14ac:dyDescent="0.25">
      <c r="B191" s="190">
        <v>44556</v>
      </c>
      <c r="C191" s="191">
        <v>1074.97</v>
      </c>
      <c r="D191" s="191">
        <v>1071.98</v>
      </c>
      <c r="E191" s="191">
        <v>1098.06</v>
      </c>
      <c r="F191" s="191">
        <v>1064.74</v>
      </c>
      <c r="G191" t="s">
        <v>593</v>
      </c>
      <c r="H191" t="str">
        <f t="shared" si="8"/>
        <v>59.65</v>
      </c>
      <c r="I191">
        <f t="shared" si="9"/>
        <v>59650000</v>
      </c>
      <c r="J191">
        <f t="shared" si="10"/>
        <v>59.65</v>
      </c>
      <c r="K191" s="4">
        <v>-2E-3</v>
      </c>
    </row>
    <row r="192" spans="2:11" x14ac:dyDescent="0.25">
      <c r="B192" s="190">
        <v>44549</v>
      </c>
      <c r="C192" s="191">
        <v>1077.08</v>
      </c>
      <c r="D192" s="191">
        <v>1052.1400000000001</v>
      </c>
      <c r="E192" s="191">
        <v>1085.8</v>
      </c>
      <c r="F192" s="191">
        <v>1020.03</v>
      </c>
      <c r="G192" t="s">
        <v>477</v>
      </c>
      <c r="H192" t="str">
        <f t="shared" si="8"/>
        <v>57.02</v>
      </c>
      <c r="I192">
        <f t="shared" si="9"/>
        <v>57020000</v>
      </c>
      <c r="J192">
        <f t="shared" si="10"/>
        <v>57.02</v>
      </c>
      <c r="K192" s="4">
        <v>1.38E-2</v>
      </c>
    </row>
    <row r="193" spans="2:11" x14ac:dyDescent="0.25">
      <c r="B193" s="190">
        <v>44542</v>
      </c>
      <c r="C193" s="191">
        <v>1062.4000000000001</v>
      </c>
      <c r="D193" s="191">
        <v>1122.8</v>
      </c>
      <c r="E193" s="191">
        <v>1123.07</v>
      </c>
      <c r="F193" s="191">
        <v>1053.1199999999999</v>
      </c>
      <c r="G193" t="s">
        <v>594</v>
      </c>
      <c r="H193" t="str">
        <f t="shared" si="8"/>
        <v>60.98</v>
      </c>
      <c r="I193">
        <f t="shared" si="9"/>
        <v>60980000</v>
      </c>
      <c r="J193">
        <f t="shared" si="10"/>
        <v>60.98</v>
      </c>
      <c r="K193" s="4">
        <v>-4.82E-2</v>
      </c>
    </row>
    <row r="194" spans="2:11" x14ac:dyDescent="0.25">
      <c r="B194" s="190">
        <v>44535</v>
      </c>
      <c r="C194" s="191">
        <v>1116.19</v>
      </c>
      <c r="D194" s="191">
        <v>1096.69</v>
      </c>
      <c r="E194" s="191">
        <v>1123.43</v>
      </c>
      <c r="F194" s="191">
        <v>1069.98</v>
      </c>
      <c r="G194" t="s">
        <v>595</v>
      </c>
      <c r="H194" t="str">
        <f t="shared" si="8"/>
        <v>47.89</v>
      </c>
      <c r="I194">
        <f t="shared" si="9"/>
        <v>47890000</v>
      </c>
      <c r="J194">
        <f t="shared" si="10"/>
        <v>47.89</v>
      </c>
      <c r="K194" s="4">
        <v>2.1100000000000001E-2</v>
      </c>
    </row>
    <row r="195" spans="2:11" x14ac:dyDescent="0.25">
      <c r="B195" s="190">
        <v>44528</v>
      </c>
      <c r="C195" s="191">
        <v>1093.18</v>
      </c>
      <c r="D195" s="191">
        <v>1107.18</v>
      </c>
      <c r="E195" s="191">
        <v>1134.82</v>
      </c>
      <c r="F195" s="191">
        <v>1084.3699999999999</v>
      </c>
      <c r="G195" t="s">
        <v>596</v>
      </c>
      <c r="H195" t="str">
        <f t="shared" si="8"/>
        <v>90.96</v>
      </c>
      <c r="I195">
        <f t="shared" si="9"/>
        <v>90960000</v>
      </c>
      <c r="J195">
        <f t="shared" si="10"/>
        <v>90.96</v>
      </c>
      <c r="K195" s="4">
        <v>-1.8E-3</v>
      </c>
    </row>
    <row r="196" spans="2:11" x14ac:dyDescent="0.25">
      <c r="B196" s="190">
        <v>44521</v>
      </c>
      <c r="C196" s="191">
        <v>1095.1500000000001</v>
      </c>
      <c r="D196" s="191">
        <v>1105.82</v>
      </c>
      <c r="E196" s="191">
        <v>1135.73</v>
      </c>
      <c r="F196" s="191">
        <v>1048.1199999999999</v>
      </c>
      <c r="G196" t="s">
        <v>597</v>
      </c>
      <c r="H196" t="str">
        <f t="shared" ref="H196:H259" si="11">LEFT(G196,LEN(G196)-1)</f>
        <v>114.86</v>
      </c>
      <c r="I196">
        <f t="shared" ref="I196:I259" si="12">H196*1000000</f>
        <v>114860000</v>
      </c>
      <c r="J196">
        <f t="shared" ref="J196:J259" si="13">I196/1000000</f>
        <v>114.86</v>
      </c>
      <c r="K196" s="4">
        <v>-2.4500000000000001E-2</v>
      </c>
    </row>
    <row r="197" spans="2:11" x14ac:dyDescent="0.25">
      <c r="B197" s="190">
        <v>44514</v>
      </c>
      <c r="C197" s="191">
        <v>1122.7</v>
      </c>
      <c r="D197" s="191">
        <v>1180.22</v>
      </c>
      <c r="E197" s="191">
        <v>1181.21</v>
      </c>
      <c r="F197" s="191">
        <v>1112.1500000000001</v>
      </c>
      <c r="G197" t="s">
        <v>598</v>
      </c>
      <c r="H197" t="str">
        <f t="shared" si="11"/>
        <v>32.17</v>
      </c>
      <c r="I197">
        <f t="shared" si="12"/>
        <v>32170000</v>
      </c>
      <c r="J197">
        <f t="shared" si="13"/>
        <v>32.17</v>
      </c>
      <c r="K197" s="4">
        <v>-4.6199999999999998E-2</v>
      </c>
    </row>
    <row r="198" spans="2:11" x14ac:dyDescent="0.25">
      <c r="B198" s="190">
        <v>44507</v>
      </c>
      <c r="C198" s="191">
        <v>1177.08</v>
      </c>
      <c r="D198" s="191">
        <v>1143.6300000000001</v>
      </c>
      <c r="E198" s="191">
        <v>1179.6500000000001</v>
      </c>
      <c r="F198" s="191">
        <v>1115.03</v>
      </c>
      <c r="G198" t="s">
        <v>599</v>
      </c>
      <c r="H198" t="str">
        <f t="shared" si="11"/>
        <v>60.65</v>
      </c>
      <c r="I198">
        <f t="shared" si="12"/>
        <v>60650000</v>
      </c>
      <c r="J198">
        <f t="shared" si="13"/>
        <v>60.65</v>
      </c>
      <c r="K198" s="4">
        <v>3.7699999999999997E-2</v>
      </c>
    </row>
    <row r="199" spans="2:11" x14ac:dyDescent="0.25">
      <c r="B199" s="190">
        <v>44500</v>
      </c>
      <c r="C199" s="191">
        <v>1134.3</v>
      </c>
      <c r="D199" s="191">
        <v>1151.28</v>
      </c>
      <c r="E199" s="191">
        <v>1160.24</v>
      </c>
      <c r="F199" s="191">
        <v>1117.1199999999999</v>
      </c>
      <c r="G199" t="s">
        <v>600</v>
      </c>
      <c r="H199" t="str">
        <f t="shared" si="11"/>
        <v>36.69</v>
      </c>
      <c r="I199">
        <f t="shared" si="12"/>
        <v>36690000</v>
      </c>
      <c r="J199">
        <f t="shared" si="13"/>
        <v>36.69</v>
      </c>
      <c r="K199" s="4">
        <v>-1.47E-2</v>
      </c>
    </row>
    <row r="200" spans="2:11" x14ac:dyDescent="0.25">
      <c r="B200" s="190">
        <v>44493</v>
      </c>
      <c r="C200" s="191">
        <v>1151.28</v>
      </c>
      <c r="D200" s="191">
        <v>1216.53</v>
      </c>
      <c r="E200" s="191">
        <v>1216.53</v>
      </c>
      <c r="F200" s="191">
        <v>1135.5899999999999</v>
      </c>
      <c r="G200" t="s">
        <v>601</v>
      </c>
      <c r="H200" t="str">
        <f t="shared" si="11"/>
        <v>56.27</v>
      </c>
      <c r="I200">
        <f t="shared" si="12"/>
        <v>56270000</v>
      </c>
      <c r="J200">
        <f t="shared" si="13"/>
        <v>56.27</v>
      </c>
      <c r="K200" s="4">
        <v>-3.4700000000000002E-2</v>
      </c>
    </row>
    <row r="201" spans="2:11" x14ac:dyDescent="0.25">
      <c r="B201" s="190">
        <v>44486</v>
      </c>
      <c r="C201" s="191">
        <v>1192.6500000000001</v>
      </c>
      <c r="D201" s="191">
        <v>1211.3599999999999</v>
      </c>
      <c r="E201" s="191">
        <v>1248.92</v>
      </c>
      <c r="F201" s="191">
        <v>1181.67</v>
      </c>
      <c r="G201" t="s">
        <v>602</v>
      </c>
      <c r="H201" t="str">
        <f t="shared" si="11"/>
        <v>61.84</v>
      </c>
      <c r="I201">
        <f t="shared" si="12"/>
        <v>61840000</v>
      </c>
      <c r="J201">
        <f t="shared" si="13"/>
        <v>61.84</v>
      </c>
      <c r="K201" s="4">
        <v>-2.7E-2</v>
      </c>
    </row>
    <row r="202" spans="2:11" x14ac:dyDescent="0.25">
      <c r="B202" s="190">
        <v>44479</v>
      </c>
      <c r="C202" s="191">
        <v>1225.79</v>
      </c>
      <c r="D202" s="191">
        <v>1226.24</v>
      </c>
      <c r="E202" s="191">
        <v>1234.69</v>
      </c>
      <c r="F202" s="191">
        <v>1198.94</v>
      </c>
      <c r="G202" t="s">
        <v>603</v>
      </c>
      <c r="H202" t="str">
        <f t="shared" si="11"/>
        <v>36.95</v>
      </c>
      <c r="I202">
        <f t="shared" si="12"/>
        <v>36950000</v>
      </c>
      <c r="J202">
        <f t="shared" si="13"/>
        <v>36.950000000000003</v>
      </c>
      <c r="K202" s="4">
        <v>1.09E-2</v>
      </c>
    </row>
    <row r="203" spans="2:11" x14ac:dyDescent="0.25">
      <c r="B203" s="190">
        <v>44472</v>
      </c>
      <c r="C203" s="191">
        <v>1212.56</v>
      </c>
      <c r="D203" s="191">
        <v>1158.8800000000001</v>
      </c>
      <c r="E203" s="191">
        <v>1218.53</v>
      </c>
      <c r="F203" s="191">
        <v>1151.6400000000001</v>
      </c>
      <c r="G203" t="s">
        <v>604</v>
      </c>
      <c r="H203" t="str">
        <f t="shared" si="11"/>
        <v>52.45</v>
      </c>
      <c r="I203">
        <f t="shared" si="12"/>
        <v>52450000</v>
      </c>
      <c r="J203">
        <f t="shared" si="13"/>
        <v>52.45</v>
      </c>
      <c r="K203" s="4">
        <v>5.8500000000000003E-2</v>
      </c>
    </row>
    <row r="204" spans="2:11" x14ac:dyDescent="0.25">
      <c r="B204" s="190">
        <v>44465</v>
      </c>
      <c r="C204" s="191">
        <v>1145.58</v>
      </c>
      <c r="D204" s="191">
        <v>1128.92</v>
      </c>
      <c r="E204" s="191">
        <v>1166.5999999999999</v>
      </c>
      <c r="F204" s="191">
        <v>1123.6099999999999</v>
      </c>
      <c r="G204" t="s">
        <v>605</v>
      </c>
      <c r="H204" t="str">
        <f t="shared" si="11"/>
        <v>60.62</v>
      </c>
      <c r="I204">
        <f t="shared" si="12"/>
        <v>60620000</v>
      </c>
      <c r="J204">
        <f t="shared" si="13"/>
        <v>60.62</v>
      </c>
      <c r="K204" s="4">
        <v>1.6500000000000001E-2</v>
      </c>
    </row>
    <row r="205" spans="2:11" x14ac:dyDescent="0.25">
      <c r="B205" s="190">
        <v>44458</v>
      </c>
      <c r="C205" s="191">
        <v>1126.97</v>
      </c>
      <c r="D205" s="191">
        <v>1076.77</v>
      </c>
      <c r="E205" s="191">
        <v>1137.3</v>
      </c>
      <c r="F205" s="191">
        <v>1075.81</v>
      </c>
      <c r="G205" t="s">
        <v>606</v>
      </c>
      <c r="H205" t="str">
        <f t="shared" si="11"/>
        <v>58.73</v>
      </c>
      <c r="I205">
        <f t="shared" si="12"/>
        <v>58730000</v>
      </c>
      <c r="J205">
        <f t="shared" si="13"/>
        <v>58.73</v>
      </c>
      <c r="K205" s="4">
        <v>3.85E-2</v>
      </c>
    </row>
    <row r="206" spans="2:11" x14ac:dyDescent="0.25">
      <c r="B206" s="190">
        <v>44451</v>
      </c>
      <c r="C206" s="191">
        <v>1085.1400000000001</v>
      </c>
      <c r="D206" s="191">
        <v>1104.4100000000001</v>
      </c>
      <c r="E206" s="191">
        <v>1114.78</v>
      </c>
      <c r="F206" s="191">
        <v>1074</v>
      </c>
      <c r="G206" t="s">
        <v>607</v>
      </c>
      <c r="H206" t="str">
        <f t="shared" si="11"/>
        <v>76.26</v>
      </c>
      <c r="I206">
        <f t="shared" si="12"/>
        <v>76260000</v>
      </c>
      <c r="J206">
        <f t="shared" si="13"/>
        <v>76.260000000000005</v>
      </c>
      <c r="K206" s="4">
        <v>-1.44E-2</v>
      </c>
    </row>
    <row r="207" spans="2:11" x14ac:dyDescent="0.25">
      <c r="B207" s="190">
        <v>44444</v>
      </c>
      <c r="C207" s="191">
        <v>1101.05</v>
      </c>
      <c r="D207" s="191">
        <v>1095.33</v>
      </c>
      <c r="E207" s="191">
        <v>1125.74</v>
      </c>
      <c r="F207" s="191">
        <v>1092.45</v>
      </c>
      <c r="G207" t="s">
        <v>608</v>
      </c>
      <c r="H207" t="str">
        <f t="shared" si="11"/>
        <v>68.54</v>
      </c>
      <c r="I207">
        <f t="shared" si="12"/>
        <v>68540000</v>
      </c>
      <c r="J207">
        <f t="shared" si="13"/>
        <v>68.540000000000006</v>
      </c>
      <c r="K207" s="4">
        <v>1.55E-2</v>
      </c>
    </row>
    <row r="208" spans="2:11" x14ac:dyDescent="0.25">
      <c r="B208" s="190">
        <v>44437</v>
      </c>
      <c r="C208" s="191">
        <v>1084.21</v>
      </c>
      <c r="D208" s="191">
        <v>1021.34</v>
      </c>
      <c r="E208" s="191">
        <v>1087.1600000000001</v>
      </c>
      <c r="F208" s="191">
        <v>1015.35</v>
      </c>
      <c r="G208" t="s">
        <v>609</v>
      </c>
      <c r="H208" t="str">
        <f t="shared" si="11"/>
        <v>85.17</v>
      </c>
      <c r="I208">
        <f t="shared" si="12"/>
        <v>85170000</v>
      </c>
      <c r="J208">
        <f t="shared" si="13"/>
        <v>85.17</v>
      </c>
      <c r="K208" s="4">
        <v>7.2300000000000003E-2</v>
      </c>
    </row>
    <row r="209" spans="2:11" x14ac:dyDescent="0.25">
      <c r="B209" s="190">
        <v>44430</v>
      </c>
      <c r="C209" s="191">
        <v>1011.08</v>
      </c>
      <c r="D209">
        <v>986.84</v>
      </c>
      <c r="E209" s="191">
        <v>1019.03</v>
      </c>
      <c r="F209">
        <v>967.91</v>
      </c>
      <c r="G209" t="s">
        <v>610</v>
      </c>
      <c r="H209" t="str">
        <f t="shared" si="11"/>
        <v>59.23</v>
      </c>
      <c r="I209">
        <f t="shared" si="12"/>
        <v>59230000</v>
      </c>
      <c r="J209">
        <f t="shared" si="13"/>
        <v>59.23</v>
      </c>
      <c r="K209" s="4">
        <v>3.6799999999999999E-2</v>
      </c>
    </row>
    <row r="210" spans="2:11" x14ac:dyDescent="0.25">
      <c r="B210" s="190">
        <v>44423</v>
      </c>
      <c r="C210">
        <v>975.15</v>
      </c>
      <c r="D210">
        <v>975.65</v>
      </c>
      <c r="E210" s="191">
        <v>1000.01</v>
      </c>
      <c r="F210">
        <v>966.03</v>
      </c>
      <c r="G210" t="s">
        <v>611</v>
      </c>
      <c r="H210" t="str">
        <f t="shared" si="11"/>
        <v>49.93</v>
      </c>
      <c r="I210">
        <f t="shared" si="12"/>
        <v>49930000</v>
      </c>
      <c r="J210">
        <f t="shared" si="13"/>
        <v>49.93</v>
      </c>
      <c r="K210" s="4">
        <v>1.1999999999999999E-3</v>
      </c>
    </row>
    <row r="211" spans="2:11" x14ac:dyDescent="0.25">
      <c r="B211" s="190">
        <v>44416</v>
      </c>
      <c r="C211">
        <v>973.97</v>
      </c>
      <c r="D211">
        <v>944.63</v>
      </c>
      <c r="E211">
        <v>975.9</v>
      </c>
      <c r="F211">
        <v>938.04</v>
      </c>
      <c r="G211" t="s">
        <v>612</v>
      </c>
      <c r="H211" t="str">
        <f t="shared" si="11"/>
        <v>45.70</v>
      </c>
      <c r="I211">
        <f t="shared" si="12"/>
        <v>45700000</v>
      </c>
      <c r="J211">
        <f t="shared" si="13"/>
        <v>45.7</v>
      </c>
      <c r="K211" s="4">
        <v>2.7099999999999999E-2</v>
      </c>
    </row>
    <row r="212" spans="2:11" x14ac:dyDescent="0.25">
      <c r="B212" s="190">
        <v>44409</v>
      </c>
      <c r="C212">
        <v>948.28</v>
      </c>
      <c r="D212">
        <v>932.51</v>
      </c>
      <c r="E212">
        <v>978.13</v>
      </c>
      <c r="F212">
        <v>926.54</v>
      </c>
      <c r="G212" t="s">
        <v>613</v>
      </c>
      <c r="H212" t="str">
        <f t="shared" si="11"/>
        <v>68.10</v>
      </c>
      <c r="I212">
        <f t="shared" si="12"/>
        <v>68100000</v>
      </c>
      <c r="J212">
        <f t="shared" si="13"/>
        <v>68.099999999999994</v>
      </c>
      <c r="K212" s="4">
        <v>2.64E-2</v>
      </c>
    </row>
    <row r="213" spans="2:11" x14ac:dyDescent="0.25">
      <c r="B213" s="190">
        <v>44402</v>
      </c>
      <c r="C213">
        <v>923.88</v>
      </c>
      <c r="D213">
        <v>956.88</v>
      </c>
      <c r="E213">
        <v>962.78</v>
      </c>
      <c r="F213">
        <v>915.23</v>
      </c>
      <c r="G213" t="s">
        <v>614</v>
      </c>
      <c r="H213" t="str">
        <f t="shared" si="11"/>
        <v>56.51</v>
      </c>
      <c r="I213">
        <f t="shared" si="12"/>
        <v>56510000</v>
      </c>
      <c r="J213">
        <f t="shared" si="13"/>
        <v>56.51</v>
      </c>
      <c r="K213" s="4">
        <v>-3.3399999999999999E-2</v>
      </c>
    </row>
    <row r="214" spans="2:11" x14ac:dyDescent="0.25">
      <c r="B214" s="190">
        <v>44395</v>
      </c>
      <c r="C214">
        <v>955.84</v>
      </c>
      <c r="D214">
        <v>953.25</v>
      </c>
      <c r="E214">
        <v>968.89</v>
      </c>
      <c r="F214">
        <v>945.99</v>
      </c>
      <c r="G214" t="s">
        <v>615</v>
      </c>
      <c r="H214" t="str">
        <f t="shared" si="11"/>
        <v>30.46</v>
      </c>
      <c r="I214">
        <f t="shared" si="12"/>
        <v>30460000</v>
      </c>
      <c r="J214">
        <f t="shared" si="13"/>
        <v>30.46</v>
      </c>
      <c r="K214" s="4">
        <v>-3.2000000000000002E-3</v>
      </c>
    </row>
    <row r="215" spans="2:11" x14ac:dyDescent="0.25">
      <c r="B215" s="190">
        <v>44388</v>
      </c>
      <c r="C215">
        <v>958.88</v>
      </c>
      <c r="D215">
        <v>944.06</v>
      </c>
      <c r="E215">
        <v>959.95</v>
      </c>
      <c r="F215">
        <v>941.68</v>
      </c>
      <c r="G215" t="s">
        <v>616</v>
      </c>
      <c r="H215" t="str">
        <f t="shared" si="11"/>
        <v>38.87</v>
      </c>
      <c r="I215">
        <f t="shared" si="12"/>
        <v>38870000</v>
      </c>
      <c r="J215">
        <f t="shared" si="13"/>
        <v>38.869999999999997</v>
      </c>
      <c r="K215" s="4">
        <v>1.9900000000000001E-2</v>
      </c>
    </row>
    <row r="216" spans="2:11" x14ac:dyDescent="0.25">
      <c r="B216" s="190">
        <v>44381</v>
      </c>
      <c r="C216">
        <v>940.18</v>
      </c>
      <c r="D216">
        <v>969.8</v>
      </c>
      <c r="E216">
        <v>977.56</v>
      </c>
      <c r="F216">
        <v>937.86</v>
      </c>
      <c r="G216" t="s">
        <v>617</v>
      </c>
      <c r="H216" t="str">
        <f t="shared" si="11"/>
        <v>48.41</v>
      </c>
      <c r="I216">
        <f t="shared" si="12"/>
        <v>48410000</v>
      </c>
      <c r="J216">
        <f t="shared" si="13"/>
        <v>48.41</v>
      </c>
      <c r="K216" s="4">
        <v>-2.7199999999999998E-2</v>
      </c>
    </row>
    <row r="217" spans="2:11" x14ac:dyDescent="0.25">
      <c r="B217" s="190">
        <v>44374</v>
      </c>
      <c r="C217">
        <v>966.44</v>
      </c>
      <c r="D217">
        <v>963.24</v>
      </c>
      <c r="E217">
        <v>968.19</v>
      </c>
      <c r="F217">
        <v>944.63</v>
      </c>
      <c r="G217" t="s">
        <v>618</v>
      </c>
      <c r="H217" t="str">
        <f t="shared" si="11"/>
        <v>86.58</v>
      </c>
      <c r="I217">
        <f t="shared" si="12"/>
        <v>86580000</v>
      </c>
      <c r="J217">
        <f t="shared" si="13"/>
        <v>86.58</v>
      </c>
      <c r="K217" s="4">
        <v>1.17E-2</v>
      </c>
    </row>
    <row r="218" spans="2:11" x14ac:dyDescent="0.25">
      <c r="B218" s="190">
        <v>44367</v>
      </c>
      <c r="C218">
        <v>955.27</v>
      </c>
      <c r="D218" s="191">
        <v>1000.23</v>
      </c>
      <c r="E218" s="191">
        <v>1026.33</v>
      </c>
      <c r="F218">
        <v>944.67</v>
      </c>
      <c r="G218" t="s">
        <v>619</v>
      </c>
      <c r="H218" t="str">
        <f t="shared" si="11"/>
        <v>174.01</v>
      </c>
      <c r="I218">
        <f t="shared" si="12"/>
        <v>174010000</v>
      </c>
      <c r="J218">
        <f t="shared" si="13"/>
        <v>174.01</v>
      </c>
      <c r="K218" s="4">
        <v>-5.45E-2</v>
      </c>
    </row>
    <row r="219" spans="2:11" x14ac:dyDescent="0.25">
      <c r="B219" s="190">
        <v>44360</v>
      </c>
      <c r="C219" s="191">
        <v>1010.29</v>
      </c>
      <c r="D219" s="191">
        <v>1005.45</v>
      </c>
      <c r="E219" s="191">
        <v>1032.6400000000001</v>
      </c>
      <c r="F219">
        <v>989.52</v>
      </c>
      <c r="G219" t="s">
        <v>620</v>
      </c>
      <c r="H219" t="str">
        <f t="shared" si="11"/>
        <v>84.38</v>
      </c>
      <c r="I219">
        <f t="shared" si="12"/>
        <v>84380000</v>
      </c>
      <c r="J219">
        <f t="shared" si="13"/>
        <v>84.38</v>
      </c>
      <c r="K219" s="4">
        <v>5.5999999999999999E-3</v>
      </c>
    </row>
    <row r="220" spans="2:11" x14ac:dyDescent="0.25">
      <c r="B220" s="190">
        <v>44353</v>
      </c>
      <c r="C220" s="191">
        <v>1004.61</v>
      </c>
      <c r="D220">
        <v>999.55</v>
      </c>
      <c r="E220" s="191">
        <v>1017.71</v>
      </c>
      <c r="F220">
        <v>979.56</v>
      </c>
      <c r="G220" t="s">
        <v>621</v>
      </c>
      <c r="H220" t="str">
        <f t="shared" si="11"/>
        <v>60.31</v>
      </c>
      <c r="I220">
        <f t="shared" si="12"/>
        <v>60310000</v>
      </c>
      <c r="J220">
        <f t="shared" si="13"/>
        <v>60.31</v>
      </c>
      <c r="K220" s="4">
        <v>1.03E-2</v>
      </c>
    </row>
    <row r="221" spans="2:11" x14ac:dyDescent="0.25">
      <c r="B221" s="190">
        <v>44346</v>
      </c>
      <c r="C221">
        <v>994.33</v>
      </c>
      <c r="D221">
        <v>954.16</v>
      </c>
      <c r="E221" s="191">
        <v>1021.34</v>
      </c>
      <c r="F221">
        <v>946.47</v>
      </c>
      <c r="G221" t="s">
        <v>622</v>
      </c>
      <c r="H221" t="str">
        <f t="shared" si="11"/>
        <v>138.64</v>
      </c>
      <c r="I221">
        <f t="shared" si="12"/>
        <v>138640000</v>
      </c>
      <c r="J221">
        <f t="shared" si="13"/>
        <v>138.63999999999999</v>
      </c>
      <c r="K221" s="4">
        <v>4.5699999999999998E-2</v>
      </c>
    </row>
    <row r="222" spans="2:11" x14ac:dyDescent="0.25">
      <c r="B222" s="190">
        <v>44339</v>
      </c>
      <c r="C222">
        <v>950.89</v>
      </c>
      <c r="D222">
        <v>911.49</v>
      </c>
      <c r="E222">
        <v>955.52</v>
      </c>
      <c r="F222">
        <v>889.7</v>
      </c>
      <c r="G222" t="s">
        <v>623</v>
      </c>
      <c r="H222" t="str">
        <f t="shared" si="11"/>
        <v>105.32</v>
      </c>
      <c r="I222">
        <f t="shared" si="12"/>
        <v>105320000</v>
      </c>
      <c r="J222">
        <f t="shared" si="13"/>
        <v>105.32</v>
      </c>
      <c r="K222" s="4">
        <v>4.6100000000000002E-2</v>
      </c>
    </row>
    <row r="223" spans="2:11" x14ac:dyDescent="0.25">
      <c r="B223" s="190">
        <v>44332</v>
      </c>
      <c r="C223">
        <v>909.02</v>
      </c>
      <c r="D223">
        <v>879.4</v>
      </c>
      <c r="E223">
        <v>915.33</v>
      </c>
      <c r="F223">
        <v>876.27</v>
      </c>
      <c r="G223" t="s">
        <v>624</v>
      </c>
      <c r="H223" t="str">
        <f t="shared" si="11"/>
        <v>57.65</v>
      </c>
      <c r="I223">
        <f t="shared" si="12"/>
        <v>57650000</v>
      </c>
      <c r="J223">
        <f t="shared" si="13"/>
        <v>57.65</v>
      </c>
      <c r="K223" s="4">
        <v>3.3700000000000001E-2</v>
      </c>
    </row>
    <row r="224" spans="2:11" x14ac:dyDescent="0.25">
      <c r="B224" s="190">
        <v>44325</v>
      </c>
      <c r="C224">
        <v>879.4</v>
      </c>
      <c r="D224">
        <v>880.17</v>
      </c>
      <c r="E224">
        <v>883.71</v>
      </c>
      <c r="F224">
        <v>865.19</v>
      </c>
      <c r="G224" t="s">
        <v>625</v>
      </c>
      <c r="H224" t="str">
        <f t="shared" si="11"/>
        <v>49.74</v>
      </c>
      <c r="I224">
        <f t="shared" si="12"/>
        <v>49740000</v>
      </c>
      <c r="J224">
        <f t="shared" si="13"/>
        <v>49.74</v>
      </c>
      <c r="K224" s="4">
        <v>2.8999999999999998E-3</v>
      </c>
    </row>
    <row r="225" spans="2:11" x14ac:dyDescent="0.25">
      <c r="B225" s="190">
        <v>44318</v>
      </c>
      <c r="C225">
        <v>876.88</v>
      </c>
      <c r="D225">
        <v>892.42</v>
      </c>
      <c r="E225">
        <v>898.33</v>
      </c>
      <c r="F225">
        <v>865.46</v>
      </c>
      <c r="G225" t="s">
        <v>626</v>
      </c>
      <c r="H225" t="str">
        <f t="shared" si="11"/>
        <v>78.27</v>
      </c>
      <c r="I225">
        <f t="shared" si="12"/>
        <v>78270000</v>
      </c>
      <c r="J225">
        <f t="shared" si="13"/>
        <v>78.27</v>
      </c>
      <c r="K225" s="4">
        <v>-3.15E-2</v>
      </c>
    </row>
    <row r="226" spans="2:11" x14ac:dyDescent="0.25">
      <c r="B226" s="190">
        <v>44311</v>
      </c>
      <c r="C226">
        <v>905.36</v>
      </c>
      <c r="D226">
        <v>871.54</v>
      </c>
      <c r="E226">
        <v>928.06</v>
      </c>
      <c r="F226">
        <v>867.69</v>
      </c>
      <c r="G226" t="s">
        <v>450</v>
      </c>
      <c r="H226" t="str">
        <f t="shared" si="11"/>
        <v>87.87</v>
      </c>
      <c r="I226">
        <f t="shared" si="12"/>
        <v>87870000</v>
      </c>
      <c r="J226">
        <f t="shared" si="13"/>
        <v>87.87</v>
      </c>
      <c r="K226" s="4">
        <v>4.7300000000000002E-2</v>
      </c>
    </row>
    <row r="227" spans="2:11" x14ac:dyDescent="0.25">
      <c r="B227" s="190">
        <v>44304</v>
      </c>
      <c r="C227">
        <v>864.44</v>
      </c>
      <c r="D227">
        <v>864.28</v>
      </c>
      <c r="E227">
        <v>871.09</v>
      </c>
      <c r="F227">
        <v>851.89</v>
      </c>
      <c r="G227" t="s">
        <v>627</v>
      </c>
      <c r="H227" t="str">
        <f t="shared" si="11"/>
        <v>57.23</v>
      </c>
      <c r="I227">
        <f t="shared" si="12"/>
        <v>57230000</v>
      </c>
      <c r="J227">
        <f t="shared" si="13"/>
        <v>57.23</v>
      </c>
      <c r="K227" s="4">
        <v>-1.44E-2</v>
      </c>
    </row>
    <row r="228" spans="2:11" x14ac:dyDescent="0.25">
      <c r="B228" s="190">
        <v>44297</v>
      </c>
      <c r="C228">
        <v>877.04</v>
      </c>
      <c r="D228">
        <v>889.25</v>
      </c>
      <c r="E228">
        <v>890.34</v>
      </c>
      <c r="F228">
        <v>862.58</v>
      </c>
      <c r="G228" t="s">
        <v>628</v>
      </c>
      <c r="H228" t="str">
        <f t="shared" si="11"/>
        <v>69.87</v>
      </c>
      <c r="I228">
        <f t="shared" si="12"/>
        <v>69870000</v>
      </c>
      <c r="J228">
        <f t="shared" si="13"/>
        <v>69.87</v>
      </c>
      <c r="K228" s="4">
        <v>-2.52E-2</v>
      </c>
    </row>
    <row r="229" spans="2:11" x14ac:dyDescent="0.25">
      <c r="B229" s="190">
        <v>44290</v>
      </c>
      <c r="C229">
        <v>899.71</v>
      </c>
      <c r="D229">
        <v>919.18</v>
      </c>
      <c r="E229">
        <v>929.15</v>
      </c>
      <c r="F229">
        <v>890.66</v>
      </c>
      <c r="G229" t="s">
        <v>629</v>
      </c>
      <c r="H229" t="str">
        <f t="shared" si="11"/>
        <v>76.20</v>
      </c>
      <c r="I229">
        <f t="shared" si="12"/>
        <v>76200000</v>
      </c>
      <c r="J229">
        <f t="shared" si="13"/>
        <v>76.2</v>
      </c>
      <c r="K229" s="4">
        <v>-1.9699999999999999E-2</v>
      </c>
    </row>
    <row r="230" spans="2:11" x14ac:dyDescent="0.25">
      <c r="B230" s="190">
        <v>44283</v>
      </c>
      <c r="C230">
        <v>917.78</v>
      </c>
      <c r="D230">
        <v>911.49</v>
      </c>
      <c r="E230">
        <v>930.51</v>
      </c>
      <c r="F230">
        <v>904.02</v>
      </c>
      <c r="G230" t="s">
        <v>630</v>
      </c>
      <c r="H230" t="str">
        <f t="shared" si="11"/>
        <v>44.69</v>
      </c>
      <c r="I230">
        <f t="shared" si="12"/>
        <v>44690000</v>
      </c>
      <c r="J230">
        <f t="shared" si="13"/>
        <v>44.69</v>
      </c>
      <c r="K230" s="4">
        <v>1.3599999999999999E-2</v>
      </c>
    </row>
    <row r="231" spans="2:11" x14ac:dyDescent="0.25">
      <c r="B231" s="190">
        <v>44276</v>
      </c>
      <c r="C231">
        <v>905.43</v>
      </c>
      <c r="D231">
        <v>940.09</v>
      </c>
      <c r="E231">
        <v>957.66</v>
      </c>
      <c r="F231">
        <v>895.92</v>
      </c>
      <c r="G231" t="s">
        <v>631</v>
      </c>
      <c r="H231" t="str">
        <f t="shared" si="11"/>
        <v>87.68</v>
      </c>
      <c r="I231">
        <f t="shared" si="12"/>
        <v>87680000</v>
      </c>
      <c r="J231">
        <f t="shared" si="13"/>
        <v>87.68</v>
      </c>
      <c r="K231" s="4">
        <v>-4.2000000000000003E-2</v>
      </c>
    </row>
    <row r="232" spans="2:11" x14ac:dyDescent="0.25">
      <c r="B232" s="190">
        <v>44269</v>
      </c>
      <c r="C232">
        <v>945.08</v>
      </c>
      <c r="D232">
        <v>971.43</v>
      </c>
      <c r="E232">
        <v>975.45</v>
      </c>
      <c r="F232">
        <v>900.05</v>
      </c>
      <c r="G232" t="s">
        <v>632</v>
      </c>
      <c r="H232" t="str">
        <f t="shared" si="11"/>
        <v>103.58</v>
      </c>
      <c r="I232">
        <f t="shared" si="12"/>
        <v>103580000</v>
      </c>
      <c r="J232">
        <f t="shared" si="13"/>
        <v>103.58</v>
      </c>
      <c r="K232" s="4">
        <v>-2.5999999999999999E-2</v>
      </c>
    </row>
    <row r="233" spans="2:11" x14ac:dyDescent="0.25">
      <c r="B233" s="190">
        <v>44262</v>
      </c>
      <c r="C233">
        <v>970.32</v>
      </c>
      <c r="D233">
        <v>984.35</v>
      </c>
      <c r="E233" s="191">
        <v>1013.13</v>
      </c>
      <c r="F233">
        <v>964.1</v>
      </c>
      <c r="G233" t="s">
        <v>633</v>
      </c>
      <c r="H233" t="str">
        <f t="shared" si="11"/>
        <v>58.19</v>
      </c>
      <c r="I233">
        <f t="shared" si="12"/>
        <v>58190000</v>
      </c>
      <c r="J233">
        <f t="shared" si="13"/>
        <v>58.19</v>
      </c>
      <c r="K233" s="4">
        <v>-1.89E-2</v>
      </c>
    </row>
    <row r="234" spans="2:11" x14ac:dyDescent="0.25">
      <c r="B234" s="190">
        <v>44255</v>
      </c>
      <c r="C234">
        <v>988.98</v>
      </c>
      <c r="D234">
        <v>957.88</v>
      </c>
      <c r="E234" s="191">
        <v>1007.68</v>
      </c>
      <c r="F234">
        <v>936.23</v>
      </c>
      <c r="G234" t="s">
        <v>634</v>
      </c>
      <c r="H234" t="str">
        <f t="shared" si="11"/>
        <v>104.95</v>
      </c>
      <c r="I234">
        <f t="shared" si="12"/>
        <v>104950000</v>
      </c>
      <c r="J234">
        <f t="shared" si="13"/>
        <v>104.95</v>
      </c>
      <c r="K234" s="4">
        <v>4.4499999999999998E-2</v>
      </c>
    </row>
    <row r="235" spans="2:11" x14ac:dyDescent="0.25">
      <c r="B235" s="190">
        <v>44248</v>
      </c>
      <c r="C235">
        <v>946.81</v>
      </c>
      <c r="D235">
        <v>944.17</v>
      </c>
      <c r="E235">
        <v>976.86</v>
      </c>
      <c r="F235">
        <v>905.57</v>
      </c>
      <c r="G235" t="s">
        <v>635</v>
      </c>
      <c r="H235" t="str">
        <f t="shared" si="11"/>
        <v>122.38</v>
      </c>
      <c r="I235">
        <f t="shared" si="12"/>
        <v>122380000</v>
      </c>
      <c r="J235">
        <f t="shared" si="13"/>
        <v>122.38</v>
      </c>
      <c r="K235" s="4">
        <v>2.5999999999999999E-3</v>
      </c>
    </row>
    <row r="236" spans="2:11" x14ac:dyDescent="0.25">
      <c r="B236" s="190">
        <v>44241</v>
      </c>
      <c r="C236">
        <v>944.31</v>
      </c>
      <c r="D236">
        <v>929.67</v>
      </c>
      <c r="E236">
        <v>957.07</v>
      </c>
      <c r="F236">
        <v>919.21</v>
      </c>
      <c r="G236" t="s">
        <v>636</v>
      </c>
      <c r="H236" t="str">
        <f t="shared" si="11"/>
        <v>95.08</v>
      </c>
      <c r="I236">
        <f t="shared" si="12"/>
        <v>95080000</v>
      </c>
      <c r="J236">
        <f t="shared" si="13"/>
        <v>95.08</v>
      </c>
      <c r="K236" s="4">
        <v>1.9E-2</v>
      </c>
    </row>
    <row r="237" spans="2:11" x14ac:dyDescent="0.25">
      <c r="B237" s="190">
        <v>44234</v>
      </c>
      <c r="C237">
        <v>926.74</v>
      </c>
      <c r="D237">
        <v>877.47</v>
      </c>
      <c r="E237">
        <v>943.27</v>
      </c>
      <c r="F237">
        <v>874.86</v>
      </c>
      <c r="G237" t="s">
        <v>637</v>
      </c>
      <c r="H237" t="str">
        <f t="shared" si="11"/>
        <v>124.66</v>
      </c>
      <c r="I237">
        <f t="shared" si="12"/>
        <v>124660000</v>
      </c>
      <c r="J237">
        <f t="shared" si="13"/>
        <v>124.66</v>
      </c>
      <c r="K237" s="4">
        <v>6.13E-2</v>
      </c>
    </row>
    <row r="238" spans="2:11" x14ac:dyDescent="0.25">
      <c r="B238" s="190">
        <v>44227</v>
      </c>
      <c r="C238">
        <v>873.25</v>
      </c>
      <c r="D238">
        <v>844.04</v>
      </c>
      <c r="E238">
        <v>886.07</v>
      </c>
      <c r="F238">
        <v>838.86</v>
      </c>
      <c r="G238" t="s">
        <v>638</v>
      </c>
      <c r="H238" t="str">
        <f t="shared" si="11"/>
        <v>140.14</v>
      </c>
      <c r="I238">
        <f t="shared" si="12"/>
        <v>140140000</v>
      </c>
      <c r="J238">
        <f t="shared" si="13"/>
        <v>140.13999999999999</v>
      </c>
      <c r="K238" s="4">
        <v>4.4400000000000002E-2</v>
      </c>
    </row>
    <row r="239" spans="2:11" x14ac:dyDescent="0.25">
      <c r="B239" s="190">
        <v>44220</v>
      </c>
      <c r="C239">
        <v>836.11</v>
      </c>
      <c r="D239">
        <v>923.72</v>
      </c>
      <c r="E239">
        <v>923.72</v>
      </c>
      <c r="F239">
        <v>830.69</v>
      </c>
      <c r="G239" t="s">
        <v>639</v>
      </c>
      <c r="H239" t="str">
        <f t="shared" si="11"/>
        <v>160.93</v>
      </c>
      <c r="I239">
        <f t="shared" si="12"/>
        <v>160930000</v>
      </c>
      <c r="J239">
        <f t="shared" si="13"/>
        <v>160.93</v>
      </c>
      <c r="K239" s="4">
        <v>-0.1013</v>
      </c>
    </row>
    <row r="240" spans="2:11" x14ac:dyDescent="0.25">
      <c r="B240" s="190">
        <v>44213</v>
      </c>
      <c r="C240">
        <v>930.37</v>
      </c>
      <c r="D240">
        <v>884.75</v>
      </c>
      <c r="E240">
        <v>962.33</v>
      </c>
      <c r="F240">
        <v>873.07</v>
      </c>
      <c r="G240" t="s">
        <v>640</v>
      </c>
      <c r="H240" t="str">
        <f t="shared" si="11"/>
        <v>154.74</v>
      </c>
      <c r="I240">
        <f t="shared" si="12"/>
        <v>154740000</v>
      </c>
      <c r="J240">
        <f t="shared" si="13"/>
        <v>154.74</v>
      </c>
      <c r="K240" s="4">
        <v>5.79E-2</v>
      </c>
    </row>
    <row r="241" spans="2:11" x14ac:dyDescent="0.25">
      <c r="B241" s="190">
        <v>44206</v>
      </c>
      <c r="C241">
        <v>879.47</v>
      </c>
      <c r="D241">
        <v>880.08</v>
      </c>
      <c r="E241">
        <v>896.49</v>
      </c>
      <c r="F241">
        <v>859.06</v>
      </c>
      <c r="G241" t="s">
        <v>641</v>
      </c>
      <c r="H241" t="str">
        <f t="shared" si="11"/>
        <v>132.21</v>
      </c>
      <c r="I241">
        <f t="shared" si="12"/>
        <v>132210000.00000001</v>
      </c>
      <c r="J241">
        <f t="shared" si="13"/>
        <v>132.21</v>
      </c>
      <c r="K241" s="4">
        <v>1.9E-3</v>
      </c>
    </row>
    <row r="242" spans="2:11" x14ac:dyDescent="0.25">
      <c r="B242" s="190">
        <v>44199</v>
      </c>
      <c r="C242">
        <v>877.76</v>
      </c>
      <c r="D242">
        <v>905.64</v>
      </c>
      <c r="E242">
        <v>907.36</v>
      </c>
      <c r="F242">
        <v>864.8</v>
      </c>
      <c r="G242" t="s">
        <v>642</v>
      </c>
      <c r="H242" t="str">
        <f t="shared" si="11"/>
        <v>142.98</v>
      </c>
      <c r="I242">
        <f t="shared" si="12"/>
        <v>142980000</v>
      </c>
      <c r="J242">
        <f t="shared" si="13"/>
        <v>142.97999999999999</v>
      </c>
      <c r="K242" s="4">
        <v>-2.7099999999999999E-2</v>
      </c>
    </row>
    <row r="243" spans="2:11" x14ac:dyDescent="0.25">
      <c r="B243" s="190">
        <v>44192</v>
      </c>
      <c r="C243">
        <v>902.18</v>
      </c>
      <c r="D243">
        <v>910.9</v>
      </c>
      <c r="E243">
        <v>916.03</v>
      </c>
      <c r="F243">
        <v>896.76</v>
      </c>
      <c r="G243" t="s">
        <v>643</v>
      </c>
      <c r="H243" t="str">
        <f t="shared" si="11"/>
        <v>80.00</v>
      </c>
      <c r="I243">
        <f t="shared" si="12"/>
        <v>80000000</v>
      </c>
      <c r="J243">
        <f t="shared" si="13"/>
        <v>80</v>
      </c>
      <c r="K243" s="4">
        <v>-3.3E-3</v>
      </c>
    </row>
    <row r="244" spans="2:11" x14ac:dyDescent="0.25">
      <c r="B244" s="190">
        <v>44185</v>
      </c>
      <c r="C244">
        <v>905.2</v>
      </c>
      <c r="D244">
        <v>912.4</v>
      </c>
      <c r="E244">
        <v>917.84</v>
      </c>
      <c r="F244">
        <v>842.15</v>
      </c>
      <c r="G244" t="s">
        <v>644</v>
      </c>
      <c r="H244" t="str">
        <f t="shared" si="11"/>
        <v>103.89</v>
      </c>
      <c r="I244">
        <f t="shared" si="12"/>
        <v>103890000</v>
      </c>
      <c r="J244">
        <f t="shared" si="13"/>
        <v>103.89</v>
      </c>
      <c r="K244" s="4">
        <v>1.2999999999999999E-3</v>
      </c>
    </row>
    <row r="245" spans="2:11" x14ac:dyDescent="0.25">
      <c r="B245" s="190">
        <v>44178</v>
      </c>
      <c r="C245">
        <v>904.02</v>
      </c>
      <c r="D245">
        <v>911.47</v>
      </c>
      <c r="E245">
        <v>914.67</v>
      </c>
      <c r="F245">
        <v>890.2</v>
      </c>
      <c r="G245" t="s">
        <v>645</v>
      </c>
      <c r="H245" t="str">
        <f t="shared" si="11"/>
        <v>85.97</v>
      </c>
      <c r="I245">
        <f t="shared" si="12"/>
        <v>85970000</v>
      </c>
      <c r="J245">
        <f t="shared" si="13"/>
        <v>85.97</v>
      </c>
      <c r="K245" s="4">
        <v>-7.1000000000000004E-3</v>
      </c>
    </row>
    <row r="246" spans="2:11" x14ac:dyDescent="0.25">
      <c r="B246" s="190">
        <v>44171</v>
      </c>
      <c r="C246">
        <v>910.49</v>
      </c>
      <c r="D246">
        <v>880.9</v>
      </c>
      <c r="E246">
        <v>925.11</v>
      </c>
      <c r="F246">
        <v>880.9</v>
      </c>
      <c r="G246" t="s">
        <v>646</v>
      </c>
      <c r="H246" t="str">
        <f t="shared" si="11"/>
        <v>123.53</v>
      </c>
      <c r="I246">
        <f t="shared" si="12"/>
        <v>123530000</v>
      </c>
      <c r="J246">
        <f t="shared" si="13"/>
        <v>123.53</v>
      </c>
      <c r="K246" s="4">
        <v>3.0300000000000001E-2</v>
      </c>
    </row>
    <row r="247" spans="2:11" x14ac:dyDescent="0.25">
      <c r="B247" s="190">
        <v>44164</v>
      </c>
      <c r="C247">
        <v>883.69</v>
      </c>
      <c r="D247">
        <v>880.78</v>
      </c>
      <c r="E247">
        <v>899.28</v>
      </c>
      <c r="F247">
        <v>876.11</v>
      </c>
      <c r="G247" t="s">
        <v>647</v>
      </c>
      <c r="H247" t="str">
        <f t="shared" si="11"/>
        <v>81.40</v>
      </c>
      <c r="I247">
        <f t="shared" si="12"/>
        <v>81400000</v>
      </c>
      <c r="J247">
        <f t="shared" si="13"/>
        <v>81.400000000000006</v>
      </c>
      <c r="K247" s="4">
        <v>8.8000000000000005E-3</v>
      </c>
    </row>
    <row r="248" spans="2:11" x14ac:dyDescent="0.25">
      <c r="B248" s="190">
        <v>44157</v>
      </c>
      <c r="C248">
        <v>875.99</v>
      </c>
      <c r="D248">
        <v>885.62</v>
      </c>
      <c r="E248">
        <v>904.66</v>
      </c>
      <c r="F248">
        <v>872.18</v>
      </c>
      <c r="G248" t="s">
        <v>648</v>
      </c>
      <c r="H248" t="str">
        <f t="shared" si="11"/>
        <v>168.06</v>
      </c>
      <c r="I248">
        <f t="shared" si="12"/>
        <v>168060000</v>
      </c>
      <c r="J248">
        <f t="shared" si="13"/>
        <v>168.06</v>
      </c>
      <c r="K248" s="4">
        <v>1.6E-2</v>
      </c>
    </row>
    <row r="249" spans="2:11" x14ac:dyDescent="0.25">
      <c r="B249" s="190">
        <v>44150</v>
      </c>
      <c r="C249">
        <v>862.24</v>
      </c>
      <c r="D249">
        <v>914.62</v>
      </c>
      <c r="E249">
        <v>946.44</v>
      </c>
      <c r="F249">
        <v>860.2</v>
      </c>
      <c r="G249" t="s">
        <v>649</v>
      </c>
      <c r="H249" t="str">
        <f t="shared" si="11"/>
        <v>154.55</v>
      </c>
      <c r="I249">
        <f t="shared" si="12"/>
        <v>154550000</v>
      </c>
      <c r="J249">
        <f t="shared" si="13"/>
        <v>154.55000000000001</v>
      </c>
      <c r="K249" s="4">
        <v>-4.8500000000000001E-2</v>
      </c>
    </row>
    <row r="250" spans="2:11" x14ac:dyDescent="0.25">
      <c r="B250" s="190">
        <v>44143</v>
      </c>
      <c r="C250">
        <v>906.22</v>
      </c>
      <c r="D250">
        <v>936.05</v>
      </c>
      <c r="E250">
        <v>950.98</v>
      </c>
      <c r="F250">
        <v>891.97</v>
      </c>
      <c r="G250" t="s">
        <v>650</v>
      </c>
      <c r="H250" t="str">
        <f t="shared" si="11"/>
        <v>198.38</v>
      </c>
      <c r="I250">
        <f t="shared" si="12"/>
        <v>198380000</v>
      </c>
      <c r="J250">
        <f t="shared" si="13"/>
        <v>198.38</v>
      </c>
      <c r="K250" s="4">
        <v>-1.61E-2</v>
      </c>
    </row>
    <row r="251" spans="2:11" x14ac:dyDescent="0.25">
      <c r="B251" s="190">
        <v>44136</v>
      </c>
      <c r="C251">
        <v>921.09</v>
      </c>
      <c r="D251">
        <v>920.11</v>
      </c>
      <c r="E251">
        <v>926.02</v>
      </c>
      <c r="F251">
        <v>833.01</v>
      </c>
      <c r="G251" t="s">
        <v>651</v>
      </c>
      <c r="H251" t="str">
        <f t="shared" si="11"/>
        <v>343.46</v>
      </c>
      <c r="I251">
        <f t="shared" si="12"/>
        <v>343460000</v>
      </c>
      <c r="J251">
        <f t="shared" si="13"/>
        <v>343.46</v>
      </c>
      <c r="K251" s="4">
        <v>-1.23E-2</v>
      </c>
    </row>
    <row r="252" spans="2:11" x14ac:dyDescent="0.25">
      <c r="B252" s="190">
        <v>44129</v>
      </c>
      <c r="C252">
        <v>932.6</v>
      </c>
      <c r="D252">
        <v>954.14</v>
      </c>
      <c r="E252">
        <v>954.14</v>
      </c>
      <c r="F252">
        <v>903.77</v>
      </c>
      <c r="G252" t="s">
        <v>652</v>
      </c>
      <c r="H252" t="str">
        <f t="shared" si="11"/>
        <v>155.44</v>
      </c>
      <c r="I252">
        <f t="shared" si="12"/>
        <v>155440000</v>
      </c>
      <c r="J252">
        <f t="shared" si="13"/>
        <v>155.44</v>
      </c>
      <c r="K252" s="4">
        <v>-2.7699999999999999E-2</v>
      </c>
    </row>
    <row r="253" spans="2:11" x14ac:dyDescent="0.25">
      <c r="B253" s="190">
        <v>44122</v>
      </c>
      <c r="C253">
        <v>959.18</v>
      </c>
      <c r="D253">
        <v>994.13</v>
      </c>
      <c r="E253" s="191">
        <v>1011.67</v>
      </c>
      <c r="F253">
        <v>949.17</v>
      </c>
      <c r="G253" t="s">
        <v>653</v>
      </c>
      <c r="H253" t="str">
        <f t="shared" si="11"/>
        <v>127.37</v>
      </c>
      <c r="I253">
        <f t="shared" si="12"/>
        <v>127370000</v>
      </c>
      <c r="J253">
        <f t="shared" si="13"/>
        <v>127.37</v>
      </c>
      <c r="K253" s="4">
        <v>-2.8799999999999999E-2</v>
      </c>
    </row>
    <row r="254" spans="2:11" x14ac:dyDescent="0.25">
      <c r="B254" s="190">
        <v>44115</v>
      </c>
      <c r="C254">
        <v>987.66</v>
      </c>
      <c r="D254" s="191">
        <v>1014.53</v>
      </c>
      <c r="E254" s="191">
        <v>1045.8499999999999</v>
      </c>
      <c r="F254">
        <v>986.23</v>
      </c>
      <c r="G254" t="s">
        <v>654</v>
      </c>
      <c r="H254" t="str">
        <f t="shared" si="11"/>
        <v>97.56</v>
      </c>
      <c r="I254">
        <f t="shared" si="12"/>
        <v>97560000</v>
      </c>
      <c r="J254">
        <f t="shared" si="13"/>
        <v>97.56</v>
      </c>
      <c r="K254" s="4">
        <v>-2.58E-2</v>
      </c>
    </row>
    <row r="255" spans="2:11" x14ac:dyDescent="0.25">
      <c r="B255" s="190">
        <v>44108</v>
      </c>
      <c r="C255" s="191">
        <v>1013.83</v>
      </c>
      <c r="D255" s="191">
        <v>1018.62</v>
      </c>
      <c r="E255" s="191">
        <v>1048.1199999999999</v>
      </c>
      <c r="F255">
        <v>999.39</v>
      </c>
      <c r="G255" t="s">
        <v>655</v>
      </c>
      <c r="H255" t="str">
        <f t="shared" si="11"/>
        <v>120.11</v>
      </c>
      <c r="I255">
        <f t="shared" si="12"/>
        <v>120110000</v>
      </c>
      <c r="J255">
        <f t="shared" si="13"/>
        <v>120.11</v>
      </c>
      <c r="K255" s="4">
        <v>3.7000000000000002E-3</v>
      </c>
    </row>
    <row r="256" spans="2:11" x14ac:dyDescent="0.25">
      <c r="B256" s="190">
        <v>44101</v>
      </c>
      <c r="C256" s="191">
        <v>1010.11</v>
      </c>
      <c r="D256" s="191">
        <v>1010.9</v>
      </c>
      <c r="E256" s="191">
        <v>1029.06</v>
      </c>
      <c r="F256" s="191">
        <v>1001.84</v>
      </c>
      <c r="G256" t="s">
        <v>656</v>
      </c>
      <c r="H256" t="str">
        <f t="shared" si="11"/>
        <v>83.77</v>
      </c>
      <c r="I256">
        <f t="shared" si="12"/>
        <v>83770000</v>
      </c>
      <c r="J256">
        <f t="shared" si="13"/>
        <v>83.77</v>
      </c>
      <c r="K256" s="4">
        <v>1.0699999999999999E-2</v>
      </c>
    </row>
    <row r="257" spans="2:11" x14ac:dyDescent="0.25">
      <c r="B257" s="190">
        <v>44094</v>
      </c>
      <c r="C257">
        <v>999.42</v>
      </c>
      <c r="D257" s="191">
        <v>1044.04</v>
      </c>
      <c r="E257" s="191">
        <v>1060.3800000000001</v>
      </c>
      <c r="F257">
        <v>983.8</v>
      </c>
      <c r="G257" t="s">
        <v>657</v>
      </c>
      <c r="H257" t="str">
        <f t="shared" si="11"/>
        <v>156.55</v>
      </c>
      <c r="I257">
        <f t="shared" si="12"/>
        <v>156550000</v>
      </c>
      <c r="J257">
        <f t="shared" si="13"/>
        <v>156.55000000000001</v>
      </c>
      <c r="K257" s="4">
        <v>-4.5100000000000001E-2</v>
      </c>
    </row>
    <row r="258" spans="2:11" x14ac:dyDescent="0.25">
      <c r="B258" s="190">
        <v>44087</v>
      </c>
      <c r="C258" s="191">
        <v>1046.6300000000001</v>
      </c>
      <c r="D258" s="191">
        <v>1055.3900000000001</v>
      </c>
      <c r="E258" s="191">
        <v>1075.52</v>
      </c>
      <c r="F258" s="191">
        <v>1033.3900000000001</v>
      </c>
      <c r="G258" t="s">
        <v>658</v>
      </c>
      <c r="H258" t="str">
        <f t="shared" si="11"/>
        <v>151.46</v>
      </c>
      <c r="I258">
        <f t="shared" si="12"/>
        <v>151460000</v>
      </c>
      <c r="J258">
        <f t="shared" si="13"/>
        <v>151.46</v>
      </c>
      <c r="K258" s="4">
        <v>-6.1000000000000004E-3</v>
      </c>
    </row>
    <row r="259" spans="2:11" x14ac:dyDescent="0.25">
      <c r="B259" s="190">
        <v>44080</v>
      </c>
      <c r="C259" s="191">
        <v>1053</v>
      </c>
      <c r="D259">
        <v>945.99</v>
      </c>
      <c r="E259" s="191">
        <v>1064.44</v>
      </c>
      <c r="F259">
        <v>927.95</v>
      </c>
      <c r="G259" t="s">
        <v>659</v>
      </c>
      <c r="H259" t="str">
        <f t="shared" si="11"/>
        <v>280.97</v>
      </c>
      <c r="I259">
        <f t="shared" si="12"/>
        <v>280970000</v>
      </c>
      <c r="J259">
        <f t="shared" si="13"/>
        <v>280.97000000000003</v>
      </c>
      <c r="K259" s="4">
        <v>0.1167</v>
      </c>
    </row>
    <row r="260" spans="2:11" x14ac:dyDescent="0.25">
      <c r="B260" s="190">
        <v>44073</v>
      </c>
      <c r="C260">
        <v>942.92</v>
      </c>
      <c r="D260">
        <v>986.84</v>
      </c>
      <c r="E260">
        <v>986.84</v>
      </c>
      <c r="F260">
        <v>935.25</v>
      </c>
      <c r="G260" t="s">
        <v>660</v>
      </c>
      <c r="H260" t="str">
        <f t="shared" ref="H260:H263" si="14">LEFT(G260,LEN(G260)-1)</f>
        <v>161.26</v>
      </c>
      <c r="I260">
        <f t="shared" ref="I260:I263" si="15">H260*1000000</f>
        <v>161260000</v>
      </c>
      <c r="J260">
        <f t="shared" ref="J260:J263" si="16">I260/1000000</f>
        <v>161.26</v>
      </c>
      <c r="K260" s="4">
        <v>-1.84E-2</v>
      </c>
    </row>
    <row r="261" spans="2:11" x14ac:dyDescent="0.25">
      <c r="B261" s="190">
        <v>44066</v>
      </c>
      <c r="C261">
        <v>960.58</v>
      </c>
      <c r="D261">
        <v>949.35</v>
      </c>
      <c r="E261">
        <v>975.95</v>
      </c>
      <c r="F261">
        <v>929.19</v>
      </c>
      <c r="G261" t="s">
        <v>661</v>
      </c>
      <c r="H261" t="str">
        <f t="shared" si="14"/>
        <v>154.36</v>
      </c>
      <c r="I261">
        <f t="shared" si="15"/>
        <v>154360000</v>
      </c>
      <c r="J261">
        <f t="shared" si="16"/>
        <v>154.36000000000001</v>
      </c>
      <c r="K261" s="4">
        <v>1.6500000000000001E-2</v>
      </c>
    </row>
    <row r="262" spans="2:11" x14ac:dyDescent="0.25">
      <c r="B262" s="190">
        <v>44059</v>
      </c>
      <c r="C262">
        <v>945.01</v>
      </c>
      <c r="D262">
        <v>955.52</v>
      </c>
      <c r="E262">
        <v>977.76</v>
      </c>
      <c r="F262">
        <v>939.68</v>
      </c>
      <c r="G262" t="s">
        <v>662</v>
      </c>
      <c r="H262" t="str">
        <f t="shared" si="14"/>
        <v>132.39</v>
      </c>
      <c r="I262">
        <f t="shared" si="15"/>
        <v>132389999.99999999</v>
      </c>
      <c r="J262">
        <f t="shared" si="16"/>
        <v>132.38999999999999</v>
      </c>
      <c r="K262" s="4">
        <v>-1.5100000000000001E-2</v>
      </c>
    </row>
    <row r="263" spans="2:11" x14ac:dyDescent="0.25">
      <c r="B263" s="190">
        <v>44052</v>
      </c>
      <c r="C263">
        <v>959.52</v>
      </c>
      <c r="D263">
        <v>980.08</v>
      </c>
      <c r="E263">
        <v>982.76</v>
      </c>
      <c r="F263">
        <v>948.37</v>
      </c>
      <c r="G263" t="s">
        <v>663</v>
      </c>
      <c r="H263" t="str">
        <f t="shared" si="14"/>
        <v>149.63</v>
      </c>
      <c r="I263">
        <f t="shared" si="15"/>
        <v>149630000</v>
      </c>
      <c r="J263">
        <f t="shared" si="16"/>
        <v>149.63</v>
      </c>
      <c r="K263" s="4">
        <v>-1.52E-2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15</vt:i4>
      </vt:variant>
    </vt:vector>
  </HeadingPairs>
  <TitlesOfParts>
    <vt:vector size="39" baseType="lpstr">
      <vt:lpstr>One page</vt:lpstr>
      <vt:lpstr>Historical Financial Statement</vt:lpstr>
      <vt:lpstr>Trend Analysis</vt:lpstr>
      <vt:lpstr>common size</vt:lpstr>
      <vt:lpstr>Forecasting</vt:lpstr>
      <vt:lpstr>Beta Regression</vt:lpstr>
      <vt:lpstr>WACC</vt:lpstr>
      <vt:lpstr>Intrinsic Growth</vt:lpstr>
      <vt:lpstr>DCF</vt:lpstr>
      <vt:lpstr>Comp Company</vt:lpstr>
      <vt:lpstr>football field</vt:lpstr>
      <vt:lpstr>VAR</vt:lpstr>
      <vt:lpstr>Dupont</vt:lpstr>
      <vt:lpstr>Altman Z</vt:lpstr>
      <vt:lpstr>Data-&gt;</vt:lpstr>
      <vt:lpstr>Comps</vt:lpstr>
      <vt:lpstr>Raw FM</vt:lpstr>
      <vt:lpstr>beta- comps</vt:lpstr>
      <vt:lpstr>RM</vt:lpstr>
      <vt:lpstr>Sheet2</vt:lpstr>
      <vt:lpstr>Data Sheet</vt:lpstr>
      <vt:lpstr>cash Flow</vt:lpstr>
      <vt:lpstr>inputsheet</vt:lpstr>
      <vt:lpstr>Stock</vt:lpstr>
      <vt:lpstr>'Altman Z'!Print_Area</vt:lpstr>
      <vt:lpstr>'Beta Regression'!Print_Area</vt:lpstr>
      <vt:lpstr>'common size'!Print_Area</vt:lpstr>
      <vt:lpstr>'Comp Company'!Print_Area</vt:lpstr>
      <vt:lpstr>DCF!Print_Area</vt:lpstr>
      <vt:lpstr>Dupont!Print_Area</vt:lpstr>
      <vt:lpstr>'football field'!Print_Area</vt:lpstr>
      <vt:lpstr>Forecasting!Print_Area</vt:lpstr>
      <vt:lpstr>'Historical Financial Statement'!Print_Area</vt:lpstr>
      <vt:lpstr>'Intrinsic Growth'!Print_Area</vt:lpstr>
      <vt:lpstr>'One page'!Print_Area</vt:lpstr>
      <vt:lpstr>'Trend Analysis'!Print_Area</vt:lpstr>
      <vt:lpstr>VAR!Print_Area</vt:lpstr>
      <vt:lpstr>WACC!Print_Area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Daksh Suman</cp:lastModifiedBy>
  <cp:lastPrinted>2025-08-11T16:01:29Z</cp:lastPrinted>
  <dcterms:created xsi:type="dcterms:W3CDTF">2012-08-17T09:55:37Z</dcterms:created>
  <dcterms:modified xsi:type="dcterms:W3CDTF">2025-08-11T16:42:56Z</dcterms:modified>
</cp:coreProperties>
</file>