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ana/Desktop/"/>
    </mc:Choice>
  </mc:AlternateContent>
  <xr:revisionPtr revIDLastSave="0" documentId="13_ncr:1_{453458B6-1A91-F142-952D-947574B33916}" xr6:coauthVersionLast="36" xr6:coauthVersionMax="36" xr10:uidLastSave="{00000000-0000-0000-0000-000000000000}"/>
  <bookViews>
    <workbookView xWindow="20" yWindow="460" windowWidth="28800" windowHeight="15940" activeTab="5" xr2:uid="{00000000-000D-0000-FFFF-FFFF00000000}"/>
  </bookViews>
  <sheets>
    <sheet name="Data" sheetId="1" r:id="rId1"/>
    <sheet name="Pivot 1" sheetId="2" r:id="rId2"/>
    <sheet name="Pivot 2" sheetId="4" r:id="rId3"/>
    <sheet name="Pivot 3" sheetId="5" r:id="rId4"/>
    <sheet name="Bonus v1" sheetId="8" r:id="rId5"/>
    <sheet name="Bonus v2" sheetId="6" r:id="rId6"/>
  </sheets>
  <definedNames>
    <definedName name="goal">Data!$D$2:$D$4115</definedName>
    <definedName name="state">Data!$F$2:$F$4115</definedName>
  </definedNames>
  <calcPr calcId="18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8" l="1"/>
  <c r="I13" i="8"/>
  <c r="G13" i="8"/>
  <c r="H12" i="8"/>
  <c r="I12" i="8"/>
  <c r="H11" i="8"/>
  <c r="I11" i="8"/>
  <c r="H10" i="8"/>
  <c r="I10" i="8"/>
  <c r="H9" i="8"/>
  <c r="I9" i="8"/>
  <c r="H8" i="8"/>
  <c r="I8" i="8"/>
  <c r="H7" i="8"/>
  <c r="I7" i="8"/>
  <c r="H6" i="8"/>
  <c r="I6" i="8"/>
  <c r="H5" i="8"/>
  <c r="I5" i="8"/>
  <c r="H4" i="8"/>
  <c r="I4" i="8"/>
  <c r="I3" i="8"/>
  <c r="H3" i="8"/>
  <c r="H2" i="8"/>
  <c r="I2" i="8"/>
  <c r="G3" i="8"/>
  <c r="G4" i="8"/>
  <c r="G5" i="8"/>
  <c r="G6" i="8"/>
  <c r="G7" i="8"/>
  <c r="G8" i="8"/>
  <c r="G9" i="8"/>
  <c r="G10" i="8"/>
  <c r="G11" i="8"/>
  <c r="G12" i="8"/>
  <c r="G2" i="8"/>
  <c r="R2" i="1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G2" i="6"/>
  <c r="H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B13" i="6"/>
  <c r="B12" i="6"/>
  <c r="B11" i="6"/>
  <c r="B10" i="6"/>
  <c r="B9" i="6"/>
  <c r="B8" i="6"/>
  <c r="B7" i="6"/>
  <c r="B6" i="6"/>
  <c r="B5" i="6"/>
  <c r="B2" i="6"/>
  <c r="C2" i="6"/>
  <c r="B3" i="6"/>
  <c r="B4" i="6"/>
  <c r="D4" i="6"/>
  <c r="C4" i="6"/>
  <c r="D3" i="6"/>
  <c r="C3" i="6"/>
  <c r="D2" i="6"/>
  <c r="J10" i="8" l="1"/>
  <c r="K10" i="8" s="1"/>
  <c r="J2" i="8"/>
  <c r="K2" i="8" s="1"/>
  <c r="J9" i="8"/>
  <c r="L9" i="8" s="1"/>
  <c r="J6" i="8"/>
  <c r="K6" i="8" s="1"/>
  <c r="J13" i="8"/>
  <c r="M13" i="8" s="1"/>
  <c r="J5" i="8"/>
  <c r="L5" i="8" s="1"/>
  <c r="J4" i="8"/>
  <c r="K4" i="8" s="1"/>
  <c r="J8" i="8"/>
  <c r="K8" i="8" s="1"/>
  <c r="J12" i="8"/>
  <c r="M12" i="8" s="1"/>
  <c r="J3" i="8"/>
  <c r="M3" i="8" s="1"/>
  <c r="J7" i="8"/>
  <c r="K7" i="8" s="1"/>
  <c r="J11" i="8"/>
  <c r="M11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L10" i="8" l="1"/>
  <c r="K9" i="8"/>
  <c r="M9" i="8"/>
  <c r="L2" i="8"/>
  <c r="M2" i="8"/>
  <c r="M10" i="8"/>
  <c r="L11" i="8"/>
  <c r="M4" i="8"/>
  <c r="M6" i="8"/>
  <c r="M7" i="8"/>
  <c r="L3" i="8"/>
  <c r="L6" i="8"/>
  <c r="L13" i="8"/>
  <c r="K13" i="8"/>
  <c r="M5" i="8"/>
  <c r="L4" i="8"/>
  <c r="L12" i="8"/>
  <c r="K11" i="8"/>
  <c r="K5" i="8"/>
  <c r="K3" i="8"/>
  <c r="M8" i="8"/>
  <c r="L8" i="8"/>
  <c r="K12" i="8"/>
  <c r="L7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<sst xmlns="http://schemas.openxmlformats.org/spreadsheetml/2006/main" count="24865" uniqueCount="8422">
  <si>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</si>
  <si>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</si>
  <si>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</si>
  <si>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</si>
  <si>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</si>
  <si>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</si>
  <si>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</si>
  <si>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</si>
  <si>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</si>
  <si>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</si>
  <si>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</si>
  <si>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</si>
  <si>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</si>
  <si>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</si>
  <si>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</si>
  <si>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</si>
  <si>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</si>
  <si>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</si>
  <si>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</si>
  <si>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</si>
  <si>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</si>
  <si>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</si>
  <si>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</si>
  <si>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</si>
  <si>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</si>
  <si>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</si>
  <si>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</si>
  <si>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</si>
  <si>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</si>
  <si>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</si>
  <si>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</si>
  <si>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</si>
  <si>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</si>
  <si>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</si>
  <si>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</si>
  <si>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</si>
  <si>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</si>
  <si>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</si>
  <si>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</si>
  <si>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</si>
  <si>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</si>
  <si>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</si>
  <si>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</si>
  <si>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</si>
  <si>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</si>
  <si>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</si>
  <si>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</si>
  <si>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</si>
  <si>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</si>
  <si>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</si>
  <si>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</si>
  <si>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</si>
  <si>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</si>
  <si>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</si>
  <si>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</si>
  <si>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</si>
  <si>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</si>
  <si>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</si>
  <si>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</si>
  <si>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</si>
  <si>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</si>
  <si>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</si>
  <si>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</si>
  <si>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</si>
  <si>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</si>
  <si>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</si>
  <si>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</si>
  <si>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</si>
  <si>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</si>
  <si>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</si>
  <si>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</si>
  <si>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</si>
  <si>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</si>
  <si>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</si>
  <si>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</si>
  <si>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</si>
  <si>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</si>
  <si>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</si>
  <si>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</si>
  <si>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</si>
  <si>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</si>
  <si>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</si>
  <si>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</si>
  <si>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</si>
  <si>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</si>
  <si>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</si>
  <si>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</si>
  <si>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</si>
  <si>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</si>
  <si>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</si>
  <si>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</si>
  <si>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</si>
  <si>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</si>
  <si>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</si>
  <si>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</si>
  <si>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</si>
  <si>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</si>
  <si>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</si>
  <si>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</si>
  <si>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</si>
  <si>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</si>
  <si>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</si>
  <si>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</si>
  <si>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</si>
  <si>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</si>
  <si>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</si>
  <si>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</si>
  <si>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</si>
  <si>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</si>
  <si>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</si>
  <si>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</si>
  <si>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</si>
  <si>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</si>
  <si>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</si>
  <si>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</si>
  <si>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</si>
  <si>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</si>
  <si>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</si>
  <si>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</si>
  <si>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</si>
  <si>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</si>
  <si>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</si>
  <si>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</si>
  <si>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</si>
  <si>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</si>
  <si>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</si>
  <si>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</si>
  <si>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</si>
  <si>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</si>
  <si>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</si>
  <si>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</si>
  <si>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</si>
  <si>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</si>
  <si>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</si>
  <si>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</si>
  <si>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</si>
  <si>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</si>
  <si>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</si>
  <si>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</si>
  <si>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</si>
  <si>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</si>
  <si>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</si>
  <si>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</si>
  <si>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</si>
  <si>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</si>
  <si>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</si>
  <si>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</si>
  <si>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</si>
  <si>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</si>
  <si>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</si>
  <si>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</si>
  <si>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</si>
  <si>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</si>
  <si>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</si>
  <si>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</si>
  <si>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</si>
  <si>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</si>
  <si>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</si>
  <si>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</si>
  <si>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</si>
  <si>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</si>
  <si>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</si>
  <si>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</si>
  <si>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</si>
  <si>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</si>
  <si>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</si>
  <si>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</si>
  <si>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</si>
  <si>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</si>
  <si>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</si>
  <si>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</si>
  <si>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</si>
  <si>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</si>
  <si>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</si>
  <si>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</si>
  <si>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</si>
  <si>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</si>
  <si>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</si>
  <si>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</si>
  <si>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</si>
  <si>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</si>
  <si>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</si>
  <si>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</si>
  <si>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</si>
  <si>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</si>
  <si>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</si>
  <si>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</si>
  <si>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</si>
  <si>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</si>
  <si>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</si>
  <si>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</si>
  <si>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</si>
  <si>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</si>
  <si>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</si>
  <si>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</si>
  <si>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</si>
  <si>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</si>
  <si>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</si>
  <si>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</si>
  <si>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</si>
  <si>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</si>
  <si>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</si>
  <si>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</si>
  <si>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</si>
  <si>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</si>
  <si>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</si>
  <si>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</si>
  <si>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</si>
  <si>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</si>
  <si>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</si>
  <si>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</si>
  <si>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</si>
  <si>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</si>
  <si>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</si>
  <si>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</si>
  <si>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</si>
  <si>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</si>
  <si>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</si>
  <si>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</si>
  <si>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</si>
  <si>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</si>
  <si>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</si>
  <si>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</si>
  <si>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</si>
  <si>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</si>
  <si>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</si>
  <si>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</si>
  <si>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</si>
  <si>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</si>
  <si>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</si>
  <si>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</si>
  <si>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</si>
  <si>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</si>
  <si>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</si>
  <si>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</si>
  <si>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</si>
  <si>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</si>
  <si>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</si>
  <si>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</si>
  <si>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</si>
  <si>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</si>
  <si>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</si>
  <si>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</si>
  <si>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</si>
  <si>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</si>
  <si>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</si>
  <si>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</si>
  <si>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</si>
  <si>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</si>
  <si>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</si>
  <si>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</si>
  <si>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</si>
  <si>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</si>
  <si>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</si>
  <si>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</si>
  <si>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</si>
  <si>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</si>
  <si>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</si>
  <si>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</si>
  <si>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</si>
  <si>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</si>
  <si>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</si>
  <si>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</si>
  <si>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</si>
  <si>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</si>
  <si>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</si>
  <si>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</si>
  <si>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</si>
  <si>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</si>
  <si>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</si>
  <si>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</si>
  <si>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</si>
  <si>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</si>
  <si>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</si>
  <si>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</si>
  <si>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</si>
  <si>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</si>
  <si>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</si>
  <si>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</si>
  <si>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</si>
  <si>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</si>
  <si>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</si>
  <si>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</si>
  <si>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</si>
  <si>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</si>
  <si>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</si>
  <si>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</si>
  <si>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</si>
  <si>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</si>
  <si>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</si>
  <si>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</si>
  <si>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</si>
  <si>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</si>
  <si>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</si>
  <si>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</si>
  <si>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</si>
  <si>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</si>
  <si>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</si>
  <si>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</si>
  <si>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</si>
  <si>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</si>
  <si>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</si>
  <si>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</si>
  <si>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</si>
  <si>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</si>
  <si>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</si>
  <si>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</si>
  <si>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</si>
  <si>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</si>
  <si>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</si>
  <si>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</si>
  <si>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</si>
  <si>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</si>
  <si>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</si>
  <si>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</si>
  <si>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</si>
  <si>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</si>
  <si>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</si>
  <si>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</si>
  <si>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</si>
  <si>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</si>
  <si>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</si>
  <si>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</si>
  <si>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</si>
  <si>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</si>
  <si>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</si>
  <si>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</si>
  <si>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</si>
  <si>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</si>
  <si>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</si>
  <si>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</si>
  <si>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</si>
  <si>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</si>
  <si>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</si>
  <si>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</si>
  <si>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</si>
  <si>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</si>
  <si>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</si>
  <si>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</si>
  <si>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</si>
  <si>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</si>
  <si>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</si>
  <si>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</si>
  <si>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</si>
  <si>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</si>
  <si>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</si>
  <si>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</si>
  <si>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</si>
  <si>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</si>
  <si>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</si>
  <si>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</si>
  <si>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</si>
  <si>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</si>
  <si>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</si>
  <si>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</si>
  <si>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</si>
  <si>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</si>
  <si>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</si>
  <si>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</si>
  <si>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</si>
  <si>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</si>
  <si>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</si>
  <si>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</si>
  <si>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</si>
  <si>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</si>
  <si>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</si>
  <si>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</si>
  <si>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</si>
  <si>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</si>
  <si>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</si>
  <si>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</si>
  <si>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</si>
  <si>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</si>
  <si>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</si>
  <si>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</si>
  <si>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</si>
  <si>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</si>
  <si>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</si>
  <si>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</si>
  <si>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</si>
  <si>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</si>
  <si>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</si>
  <si>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</si>
  <si>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</si>
  <si>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</si>
  <si>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</si>
  <si>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</si>
  <si>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</si>
  <si>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</si>
  <si>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</si>
  <si>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</si>
  <si>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</si>
  <si>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</si>
  <si>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</si>
  <si>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</si>
  <si>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</si>
  <si>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</si>
  <si>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</si>
  <si>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</si>
  <si>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</si>
  <si>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</si>
  <si>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</si>
  <si>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</si>
  <si>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</si>
  <si>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</si>
  <si>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</si>
  <si>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</si>
  <si>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</si>
  <si>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</si>
  <si>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</si>
  <si>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</si>
  <si>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</si>
  <si>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</si>
  <si>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</si>
  <si>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</si>
  <si>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</si>
  <si>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</si>
  <si>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</si>
  <si>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</si>
  <si>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</si>
  <si>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</si>
  <si>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</si>
  <si>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</si>
  <si>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</si>
  <si>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</si>
  <si>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</si>
  <si>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</si>
  <si>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</si>
  <si>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</si>
  <si>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</si>
  <si>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</si>
  <si>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</si>
  <si>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</si>
  <si>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</si>
  <si>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</si>
  <si>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</si>
  <si>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</si>
  <si>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</si>
  <si>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</si>
  <si>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</si>
  <si>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</si>
  <si>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</si>
  <si>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</si>
  <si>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</si>
  <si>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</si>
  <si>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</si>
  <si>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</si>
  <si>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</si>
  <si>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</si>
  <si>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</si>
  <si>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</si>
  <si>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</si>
  <si>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</si>
  <si>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</si>
  <si>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</si>
  <si>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</si>
  <si>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</si>
  <si>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</si>
  <si>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</si>
  <si>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</si>
  <si>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</si>
  <si>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</si>
  <si>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</si>
  <si>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</si>
  <si>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</si>
  <si>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</si>
  <si>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</si>
  <si>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</si>
  <si>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</si>
  <si>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</si>
  <si>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</si>
  <si>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</si>
  <si>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</si>
  <si>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</si>
  <si>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</si>
  <si>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</si>
  <si>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</si>
  <si>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</si>
  <si>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</si>
  <si>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</si>
  <si>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</si>
  <si>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</si>
  <si>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</si>
  <si>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</si>
  <si>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</si>
  <si>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</si>
  <si>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</si>
  <si>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</si>
  <si>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</si>
  <si>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</si>
  <si>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</si>
  <si>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</si>
  <si>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</si>
  <si>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</si>
  <si>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</si>
  <si>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</si>
  <si>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</si>
  <si>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</si>
  <si>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</si>
  <si>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</si>
  <si>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</si>
  <si>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</si>
  <si>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</si>
  <si>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</si>
  <si>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</si>
  <si>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</si>
  <si>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</si>
  <si>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</si>
  <si>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</si>
  <si>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</si>
  <si>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</si>
  <si>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</si>
  <si>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</si>
  <si>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</si>
  <si>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</si>
  <si>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</si>
  <si>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</si>
  <si>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</si>
  <si>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</si>
  <si>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</si>
  <si>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</si>
  <si>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</si>
  <si>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</si>
  <si>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</si>
  <si>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</si>
  <si>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</si>
  <si>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</si>
  <si>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</si>
  <si>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</si>
  <si>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</si>
  <si>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</si>
  <si>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</si>
  <si>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</si>
  <si>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</si>
  <si>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</si>
  <si>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</si>
  <si>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</si>
  <si>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</si>
  <si>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</si>
  <si>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</si>
  <si>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</si>
  <si>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</si>
  <si>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</si>
  <si>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</si>
  <si>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</si>
  <si>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</si>
  <si>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</si>
  <si>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</si>
  <si>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</si>
  <si>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</si>
  <si>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</si>
  <si>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</si>
  <si>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</si>
  <si>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</si>
  <si>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</si>
  <si>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</si>
  <si>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</si>
  <si>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</si>
  <si>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</si>
  <si>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</si>
  <si>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</si>
  <si>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</si>
  <si>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</si>
  <si>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</si>
  <si>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</si>
  <si>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</si>
  <si>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</si>
  <si>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</si>
  <si>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</si>
  <si>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</si>
  <si>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</si>
  <si>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</si>
  <si>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</si>
  <si>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</si>
  <si>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</si>
  <si>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</si>
  <si>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</si>
  <si>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</si>
  <si>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</si>
  <si>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</si>
  <si>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</si>
  <si>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</si>
  <si>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</si>
  <si>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</si>
  <si>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</si>
  <si>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</si>
  <si>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</si>
  <si>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</si>
  <si>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</si>
  <si>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</si>
  <si>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</si>
  <si>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</si>
  <si>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</si>
  <si>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</si>
  <si>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</si>
  <si>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</si>
  <si>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</si>
  <si>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</si>
  <si>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</si>
  <si>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</si>
  <si>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</si>
  <si>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</si>
  <si>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</si>
  <si>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</si>
  <si>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</si>
  <si>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</si>
  <si>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</si>
  <si>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</si>
  <si>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</si>
  <si>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</si>
  <si>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</si>
  <si>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</si>
  <si>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</si>
  <si>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</si>
  <si>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</si>
  <si>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</si>
  <si>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</si>
  <si>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</si>
  <si>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</si>
  <si>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</si>
  <si>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</si>
  <si>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</si>
  <si>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</si>
  <si>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</si>
  <si>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</si>
  <si>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</si>
  <si>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</si>
  <si>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</si>
  <si>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</si>
  <si>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</si>
  <si>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</si>
  <si>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</si>
  <si>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</si>
  <si>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</si>
  <si>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</si>
  <si>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</si>
  <si>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</si>
  <si>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</si>
  <si>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</si>
  <si>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</si>
  <si>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</si>
  <si>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</si>
  <si>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</si>
  <si>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</si>
  <si>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</si>
  <si>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</si>
  <si>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</si>
  <si>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</si>
  <si>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</si>
  <si>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</si>
  <si>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</si>
  <si>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</si>
  <si>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</si>
  <si>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</si>
  <si>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</si>
  <si>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</si>
  <si>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</si>
  <si>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</si>
  <si>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</si>
  <si>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</si>
  <si>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</si>
  <si>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</si>
  <si>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</si>
  <si>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</si>
  <si>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</si>
  <si>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</si>
  <si>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</si>
  <si>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</si>
  <si>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</si>
  <si>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</si>
  <si>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</si>
  <si>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</si>
  <si>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</si>
  <si>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</si>
  <si>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</si>
  <si>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</si>
  <si>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</si>
  <si>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</si>
  <si>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</si>
  <si>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</si>
  <si>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</si>
  <si>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</si>
  <si>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</si>
  <si>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</si>
  <si>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</si>
  <si>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</si>
  <si>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</si>
  <si>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</si>
  <si>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</si>
  <si>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</si>
  <si>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</si>
  <si>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</si>
  <si>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</si>
  <si>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</si>
  <si>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</si>
  <si>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</si>
  <si>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</si>
  <si>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</si>
  <si>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</si>
  <si>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</si>
  <si>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</si>
  <si>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</si>
  <si>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</si>
  <si>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</si>
  <si>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</si>
  <si>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</si>
  <si>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</si>
  <si>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</si>
  <si>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</si>
  <si>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</si>
  <si>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</si>
  <si>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</si>
  <si>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</si>
  <si>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</si>
  <si>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</si>
  <si>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</si>
  <si>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</si>
  <si>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</si>
  <si>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</si>
  <si>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</si>
  <si>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</si>
  <si>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</si>
  <si>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</si>
  <si>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</si>
  <si>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</si>
  <si>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</si>
  <si>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</si>
  <si>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</si>
  <si>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</si>
  <si>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</si>
  <si>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</si>
  <si>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</si>
  <si>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</si>
  <si>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</si>
  <si>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</si>
  <si>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</si>
  <si>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</si>
  <si>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</si>
  <si>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</si>
  <si>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</si>
  <si>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</si>
  <si>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</si>
  <si>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</si>
  <si>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</si>
  <si>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</si>
  <si>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</si>
  <si>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</si>
  <si>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</si>
  <si>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</si>
  <si>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</si>
  <si>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</si>
  <si>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</si>
  <si>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</si>
  <si>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</si>
  <si>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</si>
  <si>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</si>
  <si>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</si>
  <si>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</si>
  <si>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</si>
  <si>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</si>
  <si>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</si>
  <si>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</si>
  <si>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</si>
  <si>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</si>
  <si>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</si>
  <si>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</si>
  <si>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</si>
  <si>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</si>
  <si>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</si>
  <si>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</si>
  <si>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</si>
  <si>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</si>
  <si>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</si>
  <si>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</si>
  <si>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</si>
  <si>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</si>
  <si>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</si>
  <si>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</si>
  <si>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</si>
  <si>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</si>
  <si>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</si>
  <si>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</si>
  <si>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</si>
  <si>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</si>
  <si>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</si>
  <si>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</si>
  <si>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</si>
  <si>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</si>
  <si>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</si>
  <si>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</si>
  <si>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</si>
  <si>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</si>
  <si>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</si>
  <si>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</si>
  <si>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</si>
  <si>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</si>
  <si>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</si>
  <si>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</si>
  <si>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</si>
  <si>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</si>
  <si>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</si>
  <si>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</si>
  <si>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</si>
  <si>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</si>
  <si>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</si>
  <si>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</si>
  <si>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</si>
  <si>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</si>
  <si>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</si>
  <si>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</si>
  <si>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</si>
  <si>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</si>
  <si>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</si>
  <si>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</si>
  <si>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</si>
  <si>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</si>
  <si>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</si>
  <si>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</si>
  <si>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</si>
  <si>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</si>
  <si>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</si>
  <si>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</si>
  <si>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</si>
  <si>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</si>
  <si>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</si>
  <si>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</si>
  <si>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</si>
  <si>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</si>
  <si>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</si>
  <si>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</si>
  <si>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</si>
  <si>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</si>
  <si>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</si>
  <si>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</si>
  <si>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</si>
  <si>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</si>
  <si>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</si>
  <si>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</si>
  <si>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</si>
  <si>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</si>
  <si>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</si>
  <si>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</si>
  <si>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</si>
  <si>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</si>
  <si>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</si>
  <si>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</si>
  <si>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</si>
  <si>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</si>
  <si>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</si>
  <si>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</si>
  <si>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</si>
  <si>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</si>
  <si>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</si>
  <si>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</si>
  <si>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</si>
  <si>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</si>
  <si>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</si>
  <si>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</si>
  <si>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</si>
  <si>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</si>
  <si>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</si>
  <si>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</si>
  <si>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</si>
  <si>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</si>
  <si>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</si>
  <si>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</si>
  <si>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</si>
  <si>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</si>
  <si>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</si>
  <si>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</si>
  <si>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</si>
  <si>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</si>
  <si>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</si>
  <si>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</si>
  <si>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</si>
  <si>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</si>
  <si>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</si>
  <si>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</si>
  <si>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</si>
  <si>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</si>
  <si>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</si>
  <si>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</si>
  <si>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</si>
  <si>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</si>
  <si>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</si>
  <si>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</si>
  <si>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</si>
  <si>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</si>
  <si>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</si>
  <si>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</si>
  <si>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</si>
  <si>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</si>
  <si>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</si>
  <si>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</si>
  <si>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</si>
  <si>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</si>
  <si>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</si>
  <si>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</si>
  <si>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</si>
  <si>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</si>
  <si>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</si>
  <si>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</si>
  <si>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</si>
  <si>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</si>
  <si>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</si>
  <si>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</si>
  <si>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</si>
  <si>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</si>
  <si>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</si>
  <si>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</si>
  <si>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</si>
  <si>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</si>
  <si>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</si>
  <si>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</si>
  <si>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</si>
  <si>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</si>
  <si>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</si>
  <si>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</si>
  <si>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</si>
  <si>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</si>
  <si>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</si>
  <si>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</si>
  <si>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</si>
  <si>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</si>
  <si>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</si>
  <si>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</si>
  <si>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</si>
  <si>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</si>
  <si>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</si>
  <si>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</si>
  <si>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</si>
  <si>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</si>
  <si>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</si>
  <si>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</si>
  <si>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</si>
  <si>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</si>
  <si>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</si>
  <si>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</si>
  <si>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</si>
  <si>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</si>
  <si>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</si>
  <si>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</si>
  <si>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</si>
  <si>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</si>
  <si>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</si>
  <si>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</si>
  <si>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</si>
  <si>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</si>
  <si>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</si>
  <si>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</si>
  <si>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</si>
  <si>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</si>
  <si>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</si>
  <si>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</si>
  <si>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</si>
  <si>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</si>
  <si>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</si>
  <si>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</si>
  <si>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</si>
  <si>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</si>
  <si>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</si>
  <si>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</si>
  <si>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</si>
  <si>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</si>
  <si>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</si>
  <si>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</si>
  <si>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</si>
  <si>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</si>
  <si>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</si>
  <si>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</si>
  <si>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</si>
  <si>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</si>
  <si>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</si>
  <si>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</si>
  <si>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</si>
  <si>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</si>
  <si>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</si>
  <si>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</si>
  <si>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</si>
  <si>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</si>
  <si>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</si>
  <si>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</si>
  <si>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</si>
  <si>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</si>
  <si>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</si>
  <si>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</si>
  <si>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</si>
  <si>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</si>
  <si>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</si>
  <si>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</si>
  <si>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</si>
  <si>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</si>
  <si>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</si>
  <si>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</si>
  <si>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</si>
  <si>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</si>
  <si>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</si>
  <si>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</si>
  <si>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</si>
  <si>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</si>
  <si>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</si>
  <si>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</si>
  <si>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</si>
  <si>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</si>
  <si>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</si>
  <si>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</si>
  <si>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</si>
  <si>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</si>
  <si>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</si>
  <si>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</si>
  <si>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</si>
  <si>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</si>
  <si>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</si>
  <si>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</si>
  <si>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</si>
  <si>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</si>
  <si>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</si>
  <si>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</si>
  <si>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</si>
  <si>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</si>
  <si>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</si>
  <si>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</si>
  <si>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</si>
  <si>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</si>
  <si>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</si>
  <si>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</si>
  <si>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</si>
  <si>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</si>
  <si>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</si>
  <si>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</si>
  <si>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</si>
  <si>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</si>
  <si>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</si>
  <si>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</si>
  <si>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</si>
  <si>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</si>
  <si>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</si>
  <si>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</si>
  <si>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</si>
  <si>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</si>
  <si>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</si>
  <si>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</si>
  <si>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</si>
  <si>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</si>
  <si>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</si>
  <si>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</si>
  <si>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</si>
  <si>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</si>
  <si>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</si>
  <si>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</si>
  <si>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</si>
  <si>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</si>
  <si>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</si>
  <si>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</si>
  <si>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</si>
  <si>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</si>
  <si>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</si>
  <si>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</si>
  <si>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</si>
  <si>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</si>
  <si>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</si>
  <si>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</si>
  <si>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</si>
  <si>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</si>
  <si>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</si>
  <si>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</si>
  <si>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</si>
  <si>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</si>
  <si>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</si>
  <si>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</si>
  <si>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</si>
  <si>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</si>
  <si>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</si>
  <si>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</si>
  <si>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</si>
  <si>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</si>
  <si>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</si>
  <si>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</si>
  <si>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</si>
  <si>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</si>
  <si>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</si>
  <si>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</si>
  <si>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</si>
  <si>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</si>
  <si>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</si>
  <si>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</si>
  <si>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</si>
  <si>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</si>
  <si>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</si>
  <si>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</si>
  <si>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</si>
  <si>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</si>
  <si>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</si>
  <si>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</si>
  <si>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</si>
  <si>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</si>
  <si>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</si>
  <si>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</si>
  <si>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</si>
  <si>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</si>
  <si>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</si>
  <si>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</si>
  <si>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</si>
  <si>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</si>
  <si>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</si>
  <si>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</si>
  <si>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</si>
  <si>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</si>
  <si>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</si>
  <si>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</si>
  <si>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</si>
  <si>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</si>
  <si>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</si>
  <si>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</si>
  <si>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</si>
  <si>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</si>
  <si>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</si>
  <si>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</si>
  <si>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</si>
  <si>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</si>
  <si>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</si>
  <si>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</si>
  <si>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</si>
  <si>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</si>
  <si>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</si>
  <si>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</si>
  <si>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</si>
  <si>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</si>
  <si>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</si>
  <si>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</si>
  <si>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</si>
  <si>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</si>
  <si>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</si>
  <si>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</si>
  <si>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</si>
  <si>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</si>
  <si>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</si>
  <si>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</si>
  <si>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</si>
  <si>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</si>
  <si>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</si>
  <si>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</si>
  <si>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</si>
  <si>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</si>
  <si>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</si>
  <si>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</si>
  <si>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</si>
  <si>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</si>
  <si>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</si>
  <si>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</si>
  <si>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</si>
  <si>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</si>
  <si>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</si>
  <si>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</si>
  <si>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</si>
  <si>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</si>
  <si>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</si>
  <si>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</si>
  <si>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</si>
  <si>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</si>
  <si>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</si>
  <si>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</si>
  <si>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</si>
  <si>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</si>
  <si>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</si>
  <si>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</si>
  <si>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</si>
  <si>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</si>
  <si>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</si>
  <si>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</si>
  <si>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</si>
  <si>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</si>
  <si>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</si>
  <si>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</si>
  <si>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</si>
  <si>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</si>
  <si>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</si>
  <si>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</si>
  <si>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</si>
  <si>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</si>
  <si>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</si>
  <si>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</si>
  <si>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</si>
  <si>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</si>
  <si>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</si>
  <si>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</si>
  <si>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</si>
  <si>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</si>
  <si>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</si>
  <si>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</si>
  <si>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</si>
  <si>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</si>
  <si>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</si>
  <si>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</si>
  <si>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</si>
  <si>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</si>
  <si>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</si>
  <si>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</si>
  <si>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</si>
  <si>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</si>
  <si>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</si>
  <si>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</si>
  <si>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</si>
  <si>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</si>
  <si>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</si>
  <si>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</si>
  <si>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</si>
  <si>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</si>
  <si>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</si>
  <si>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</si>
  <si>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</si>
  <si>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</si>
  <si>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</si>
  <si>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</si>
  <si>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</si>
  <si>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</si>
  <si>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</si>
  <si>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</si>
  <si>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</si>
  <si>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</si>
  <si>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</si>
  <si>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</si>
  <si>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</si>
  <si>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</si>
  <si>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</si>
  <si>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</si>
  <si>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</si>
  <si>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</si>
  <si>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</si>
  <si>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</si>
  <si>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</si>
  <si>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</si>
  <si>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</si>
  <si>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</si>
  <si>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</si>
  <si>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</si>
  <si>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</si>
  <si>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</si>
  <si>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</si>
  <si>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</si>
  <si>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</si>
  <si>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</si>
  <si>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</si>
  <si>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</si>
  <si>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</si>
  <si>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</si>
  <si>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</si>
  <si>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</si>
  <si>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</si>
  <si>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</si>
  <si>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</si>
  <si>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</si>
  <si>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</si>
  <si>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</si>
  <si>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</si>
  <si>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</si>
  <si>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</si>
  <si>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</si>
  <si>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</si>
  <si>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</si>
  <si>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</si>
  <si>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</si>
  <si>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</si>
  <si>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</si>
  <si>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</si>
  <si>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</si>
  <si>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</si>
  <si>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</si>
  <si>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</si>
  <si>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</si>
  <si>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</si>
  <si>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</si>
  <si>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</si>
  <si>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</si>
  <si>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</si>
  <si>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</si>
  <si>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</si>
  <si>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</si>
  <si>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</si>
  <si>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</si>
  <si>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</si>
  <si>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</si>
  <si>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</si>
  <si>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</si>
  <si>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</si>
  <si>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</si>
  <si>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</si>
  <si>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</si>
  <si>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</si>
  <si>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</si>
  <si>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</si>
  <si>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</si>
  <si>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</si>
  <si>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</si>
  <si>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</si>
  <si>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</si>
  <si>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</si>
  <si>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</si>
  <si>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</si>
  <si>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</si>
  <si>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</si>
  <si>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</si>
  <si>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</si>
  <si>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</si>
  <si>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</si>
  <si>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</si>
  <si>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</si>
  <si>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</si>
  <si>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</si>
  <si>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</si>
  <si>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</si>
  <si>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</si>
  <si>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</si>
  <si>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</si>
  <si>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</si>
  <si>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</si>
  <si>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</si>
  <si>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</si>
  <si>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</si>
  <si>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</si>
  <si>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</si>
  <si>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</si>
  <si>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</si>
  <si>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</si>
  <si>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</si>
  <si>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</si>
  <si>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</si>
  <si>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</si>
  <si>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</si>
  <si>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</si>
  <si>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</si>
  <si>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</si>
  <si>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</si>
  <si>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</si>
  <si>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</si>
  <si>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</si>
  <si>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</si>
  <si>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</si>
  <si>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</si>
  <si>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</si>
  <si>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</si>
  <si>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</si>
  <si>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</si>
  <si>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</si>
  <si>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</si>
  <si>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</si>
  <si>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</si>
  <si>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</si>
  <si>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</si>
  <si>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</si>
  <si>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</si>
  <si>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</si>
  <si>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</si>
  <si>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</si>
  <si>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</si>
  <si>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</si>
  <si>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</si>
  <si>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</si>
  <si>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</si>
  <si>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</si>
  <si>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</si>
  <si>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</si>
  <si>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</si>
  <si>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</si>
  <si>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</si>
  <si>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</si>
  <si>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</si>
  <si>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</si>
  <si>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</si>
  <si>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</si>
  <si>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</si>
  <si>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</si>
  <si>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</si>
  <si>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</si>
  <si>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</si>
  <si>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</si>
  <si>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</si>
  <si>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</si>
  <si>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</si>
  <si>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</si>
  <si>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</si>
  <si>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</si>
  <si>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</si>
  <si>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</si>
  <si>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</si>
  <si>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</si>
  <si>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</si>
  <si>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</si>
  <si>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</si>
  <si>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</si>
  <si>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</si>
  <si>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</si>
  <si>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</si>
  <si>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</si>
  <si>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</si>
  <si>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</si>
  <si>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</si>
  <si>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</si>
  <si>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</si>
  <si>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</si>
  <si>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</si>
  <si>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</si>
  <si>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</si>
  <si>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</si>
  <si>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</si>
  <si>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</si>
  <si>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</si>
  <si>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</si>
  <si>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</si>
  <si>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</si>
  <si>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</si>
  <si>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</si>
  <si>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</si>
  <si>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</si>
  <si>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</si>
  <si>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</si>
  <si>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</si>
  <si>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</si>
  <si>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</si>
  <si>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</si>
  <si>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</si>
  <si>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</si>
  <si>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</si>
  <si>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</si>
  <si>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</si>
  <si>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</si>
  <si>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</si>
  <si>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</si>
  <si>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</si>
  <si>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</si>
  <si>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</si>
  <si>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</si>
  <si>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</si>
  <si>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</si>
  <si>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</si>
  <si>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</si>
  <si>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</si>
  <si>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</si>
  <si>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</si>
  <si>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</si>
  <si>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</si>
  <si>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</si>
  <si>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</si>
  <si>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</si>
  <si>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</si>
  <si>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</si>
  <si>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</si>
  <si>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</si>
  <si>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</si>
  <si>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</si>
  <si>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</si>
  <si>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</si>
  <si>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</si>
  <si>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</si>
  <si>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</si>
  <si>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</si>
  <si>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</si>
  <si>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</si>
  <si>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</si>
  <si>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</si>
  <si>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</si>
  <si>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</si>
  <si>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</si>
  <si>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</si>
  <si>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</si>
  <si>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</si>
  <si>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</si>
  <si>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</si>
  <si>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</si>
  <si>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</si>
  <si>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</si>
  <si>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</si>
  <si>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</si>
  <si>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</si>
  <si>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</si>
  <si>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</si>
  <si>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</si>
  <si>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</si>
  <si>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</si>
  <si>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</si>
  <si>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</si>
  <si>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</si>
  <si>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</si>
  <si>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</si>
  <si>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</si>
  <si>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</si>
  <si>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</si>
  <si>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</si>
  <si>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</si>
  <si>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</si>
  <si>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</si>
  <si>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</si>
  <si>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</si>
  <si>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</si>
  <si>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</si>
  <si>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</si>
  <si>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</si>
  <si>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</si>
  <si>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</si>
  <si>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</si>
  <si>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</si>
  <si>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</si>
  <si>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</si>
  <si>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</si>
  <si>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</si>
  <si>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</si>
  <si>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</si>
  <si>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</si>
  <si>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</si>
  <si>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</si>
  <si>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</si>
  <si>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</si>
  <si>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</si>
  <si>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</si>
  <si>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</si>
  <si>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</si>
  <si>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</si>
  <si>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</si>
  <si>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</si>
  <si>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</si>
  <si>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</si>
  <si>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</si>
  <si>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</si>
  <si>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</si>
  <si>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</si>
  <si>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</si>
  <si>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</si>
  <si>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</si>
  <si>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</si>
  <si>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</si>
  <si>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</si>
  <si>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</si>
  <si>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</si>
  <si>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</si>
  <si>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</si>
  <si>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</si>
  <si>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</si>
  <si>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</si>
  <si>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</si>
  <si>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</si>
  <si>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</si>
  <si>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</si>
  <si>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</si>
  <si>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</si>
  <si>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</si>
  <si>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</si>
  <si>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</si>
  <si>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</si>
  <si>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</si>
  <si>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</si>
  <si>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</si>
  <si>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</si>
  <si>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</si>
  <si>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</si>
  <si>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</si>
  <si>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</si>
  <si>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</si>
  <si>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</si>
  <si>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</si>
  <si>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</si>
  <si>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</si>
  <si>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</si>
  <si>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</si>
  <si>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</si>
  <si>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</si>
  <si>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</si>
  <si>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</si>
  <si>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</si>
  <si>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</si>
  <si>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</si>
  <si>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</si>
  <si>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</si>
  <si>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</si>
  <si>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</si>
  <si>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</si>
  <si>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</si>
  <si>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</si>
  <si>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</si>
  <si>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</si>
  <si>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</si>
  <si>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</si>
  <si>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</si>
  <si>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</si>
  <si>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</si>
  <si>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</si>
  <si>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</si>
  <si>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</si>
  <si>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</si>
  <si>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</si>
  <si>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</si>
  <si>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</si>
  <si>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</si>
  <si>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</si>
  <si>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</si>
  <si>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</si>
  <si>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</si>
  <si>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</si>
  <si>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</si>
  <si>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</si>
  <si>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</si>
  <si>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</si>
  <si>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</si>
  <si>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</si>
  <si>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</si>
  <si>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</si>
  <si>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</si>
  <si>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</si>
  <si>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</si>
  <si>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</si>
  <si>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</si>
  <si>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</si>
  <si>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</si>
  <si>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</si>
  <si>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</si>
  <si>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</si>
  <si>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</si>
  <si>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</si>
  <si>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</si>
  <si>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</si>
  <si>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</si>
  <si>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</si>
  <si>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</si>
  <si>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</si>
  <si>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</si>
  <si>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</si>
  <si>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</si>
  <si>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</si>
  <si>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</si>
  <si>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</si>
  <si>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</si>
  <si>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</si>
  <si>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</si>
  <si>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</si>
  <si>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</si>
  <si>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</si>
  <si>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</si>
  <si>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</si>
  <si>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</si>
  <si>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</si>
  <si>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</si>
  <si>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</si>
  <si>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</si>
  <si>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</si>
  <si>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</si>
  <si>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</si>
  <si>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</si>
  <si>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</si>
  <si>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</si>
  <si>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</si>
  <si>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</si>
  <si>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</si>
  <si>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</si>
  <si>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</si>
  <si>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</si>
  <si>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</si>
  <si>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</si>
  <si>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</si>
  <si>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</si>
  <si>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</si>
  <si>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</si>
  <si>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</si>
  <si>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</si>
  <si>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</si>
  <si>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</si>
  <si>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</si>
  <si>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</si>
  <si>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</si>
  <si>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</si>
  <si>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</si>
  <si>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</si>
  <si>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</si>
  <si>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</si>
  <si>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</si>
  <si>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</si>
  <si>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</si>
  <si>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</si>
  <si>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</si>
  <si>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</si>
  <si>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</si>
  <si>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</si>
  <si>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</si>
  <si>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</si>
  <si>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</si>
  <si>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</si>
  <si>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</si>
  <si>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</si>
  <si>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</si>
  <si>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</si>
  <si>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</si>
  <si>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</si>
  <si>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</si>
  <si>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</si>
  <si>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</si>
  <si>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</si>
  <si>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</si>
  <si>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</si>
  <si>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</si>
  <si>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</si>
  <si>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</si>
  <si>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</si>
  <si>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</si>
  <si>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</si>
  <si>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</si>
  <si>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</si>
  <si>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</si>
  <si>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</si>
  <si>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</si>
  <si>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</si>
  <si>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</si>
  <si>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</si>
  <si>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</si>
  <si>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</si>
  <si>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</si>
  <si>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</si>
  <si>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</si>
  <si>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</si>
  <si>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</si>
  <si>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</si>
  <si>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</si>
  <si>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</si>
  <si>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</si>
  <si>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</si>
  <si>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</si>
  <si>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</si>
  <si>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</si>
  <si>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</si>
  <si>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</si>
  <si>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</si>
  <si>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</si>
  <si>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</si>
  <si>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</si>
  <si>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</si>
  <si>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</si>
  <si>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</si>
  <si>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</si>
  <si>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</si>
  <si>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</si>
  <si>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</si>
  <si>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</si>
  <si>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</si>
  <si>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</si>
  <si>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</si>
  <si>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</si>
  <si>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</si>
  <si>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</si>
  <si>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</si>
  <si>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</si>
  <si>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</si>
  <si>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</si>
  <si>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</si>
  <si>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</si>
  <si>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</si>
  <si>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</si>
  <si>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</si>
  <si>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</si>
  <si>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</si>
  <si>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</si>
  <si>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</si>
  <si>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</si>
  <si>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</si>
  <si>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</si>
  <si>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</si>
  <si>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</si>
  <si>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</si>
  <si>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</si>
  <si>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</si>
  <si>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</si>
  <si>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</si>
  <si>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</si>
  <si>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</si>
  <si>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</si>
  <si>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</si>
  <si>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</si>
  <si>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</si>
  <si>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</si>
  <si>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</si>
  <si>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</si>
  <si>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</si>
  <si>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</si>
  <si>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</si>
  <si>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</si>
  <si>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</si>
  <si>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</si>
  <si>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</si>
  <si>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</si>
  <si>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</si>
  <si>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</si>
  <si>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</si>
  <si>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</si>
  <si>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</si>
  <si>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</si>
  <si>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</si>
  <si>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</si>
  <si>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</si>
  <si>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</si>
  <si>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</si>
  <si>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</si>
  <si>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</si>
  <si>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</si>
  <si>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</si>
  <si>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</si>
  <si>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</si>
  <si>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</si>
  <si>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</si>
  <si>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</si>
  <si>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</si>
  <si>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</si>
  <si>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</si>
  <si>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</si>
  <si>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</si>
  <si>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</si>
  <si>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</si>
  <si>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</si>
  <si>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</si>
  <si>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</si>
  <si>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</si>
  <si>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</si>
  <si>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</si>
  <si>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</si>
  <si>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</si>
  <si>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</si>
  <si>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</si>
  <si>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</si>
  <si>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</si>
  <si>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</si>
  <si>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</si>
  <si>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</si>
  <si>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</si>
  <si>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</si>
  <si>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</si>
  <si>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</si>
  <si>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</si>
  <si>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</si>
  <si>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</si>
  <si>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</si>
  <si>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</si>
  <si>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</si>
  <si>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</si>
  <si>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</si>
  <si>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</si>
  <si>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</si>
  <si>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</si>
  <si>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</si>
  <si>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</si>
  <si>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</si>
  <si>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</si>
  <si>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</si>
  <si>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</si>
  <si>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</si>
  <si>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</si>
  <si>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</si>
  <si>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</si>
  <si>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</si>
  <si>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</si>
  <si>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</si>
  <si>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</si>
  <si>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</si>
  <si>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</si>
  <si>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</si>
  <si>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</si>
  <si>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</si>
  <si>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</si>
  <si>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</si>
  <si>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</si>
  <si>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</si>
  <si>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</si>
  <si>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</si>
  <si>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</si>
  <si>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</si>
  <si>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</si>
  <si>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</si>
  <si>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</si>
  <si>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</si>
  <si>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</si>
  <si>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</si>
  <si>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</si>
  <si>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</si>
  <si>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</si>
  <si>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</si>
  <si>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</si>
  <si>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</si>
  <si>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</si>
  <si>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</si>
  <si>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</si>
  <si>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</si>
  <si>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</si>
  <si>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</si>
  <si>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</si>
  <si>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</si>
  <si>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</si>
  <si>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</si>
  <si>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</si>
  <si>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</si>
  <si>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</si>
  <si>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</si>
  <si>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</si>
  <si>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</si>
  <si>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</si>
  <si>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</si>
  <si>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</si>
  <si>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</si>
  <si>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</si>
  <si>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</si>
  <si>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</si>
  <si>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</si>
  <si>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</si>
  <si>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</si>
  <si>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</si>
  <si>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</si>
  <si>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</si>
  <si>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</si>
  <si>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</si>
  <si>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</si>
  <si>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</si>
  <si>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</si>
  <si>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</si>
  <si>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</si>
  <si>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</si>
  <si>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</si>
  <si>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</si>
  <si>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</si>
  <si>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</si>
  <si>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</si>
  <si>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</si>
  <si>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</si>
  <si>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</si>
  <si>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</si>
  <si>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</si>
  <si>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</si>
  <si>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</si>
  <si>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</si>
  <si>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</si>
  <si>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</si>
  <si>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</si>
  <si>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</si>
  <si>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</si>
  <si>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</si>
  <si>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</si>
  <si>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</si>
  <si>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</si>
  <si>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</si>
  <si>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</si>
  <si>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</si>
  <si>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</si>
  <si>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</si>
  <si>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</si>
  <si>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</si>
  <si>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</si>
  <si>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</si>
  <si>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</si>
  <si>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</si>
  <si>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</si>
  <si>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</si>
  <si>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</si>
  <si>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</si>
  <si>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</si>
  <si>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</si>
  <si>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</si>
  <si>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</si>
  <si>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</si>
  <si>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</si>
  <si>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</si>
  <si>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</si>
  <si>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</si>
  <si>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</si>
  <si>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</si>
  <si>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</si>
  <si>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</si>
  <si>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</si>
  <si>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</si>
  <si>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</si>
  <si>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</si>
  <si>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</si>
  <si>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</si>
  <si>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</si>
  <si>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</si>
  <si>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</si>
  <si>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</si>
  <si>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</si>
  <si>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</si>
  <si>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</si>
  <si>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</si>
  <si>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</si>
  <si>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</si>
  <si>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</si>
  <si>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</si>
  <si>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</si>
  <si>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</si>
  <si>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</si>
  <si>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</si>
  <si>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</si>
  <si>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</si>
  <si>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</si>
  <si>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</si>
  <si>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</si>
  <si>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</si>
  <si>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</si>
  <si>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</si>
  <si>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</si>
  <si>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</si>
  <si>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</si>
  <si>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</si>
  <si>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</si>
  <si>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</si>
  <si>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</si>
  <si>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</si>
  <si>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</si>
  <si>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</si>
  <si>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</si>
  <si>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</si>
  <si>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</si>
  <si>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</si>
  <si>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</si>
  <si>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</si>
  <si>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</si>
  <si>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</si>
  <si>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</si>
  <si>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</si>
  <si>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</si>
  <si>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</si>
  <si>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</si>
  <si>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</si>
  <si>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</si>
  <si>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</si>
  <si>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</si>
  <si>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</si>
  <si>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</si>
  <si>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</si>
  <si>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</si>
  <si>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</si>
  <si>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</si>
  <si>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</si>
  <si>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</si>
  <si>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</si>
  <si>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</si>
  <si>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</si>
  <si>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</si>
  <si>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</si>
  <si>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</si>
  <si>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</si>
  <si>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</si>
  <si>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</si>
  <si>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</si>
  <si>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</si>
  <si>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</si>
  <si>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</si>
  <si>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</si>
  <si>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</si>
  <si>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</si>
  <si>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</si>
  <si>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</si>
  <si>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</si>
  <si>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</si>
  <si>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</si>
  <si>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</si>
  <si>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</si>
  <si>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</si>
  <si>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</si>
  <si>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</si>
  <si>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</si>
  <si>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</si>
  <si>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</si>
  <si>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</si>
  <si>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</si>
  <si>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</si>
  <si>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</si>
  <si>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</si>
  <si>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</si>
  <si>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</si>
  <si>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</si>
  <si>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</si>
  <si>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</si>
  <si>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</si>
  <si>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</si>
  <si>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</si>
  <si>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</si>
  <si>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</si>
  <si>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</si>
  <si>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</si>
  <si>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</si>
  <si>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</si>
  <si>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</si>
  <si>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</si>
  <si>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</si>
  <si>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</si>
  <si>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</si>
  <si>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</si>
  <si>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</si>
  <si>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</si>
  <si>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</si>
  <si>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</si>
  <si>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</si>
  <si>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</si>
  <si>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</si>
  <si>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</si>
  <si>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</si>
  <si>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</si>
  <si>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</si>
  <si>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</si>
  <si>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</si>
  <si>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</si>
  <si>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</si>
  <si>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</si>
  <si>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</si>
  <si>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</si>
  <si>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</si>
  <si>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</si>
  <si>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</si>
  <si>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</si>
  <si>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</si>
  <si>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</si>
  <si>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</si>
  <si>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</si>
  <si>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</si>
  <si>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</si>
  <si>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</si>
  <si>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</si>
  <si>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</si>
  <si>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</si>
  <si>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</si>
  <si>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</si>
  <si>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</si>
  <si>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</si>
  <si>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</si>
  <si>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</si>
  <si>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</si>
  <si>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</si>
  <si>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</si>
  <si>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</si>
  <si>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</si>
  <si>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</si>
  <si>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</si>
  <si>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</si>
  <si>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</si>
  <si>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</si>
  <si>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</si>
  <si>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</si>
  <si>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</si>
  <si>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</si>
  <si>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</si>
  <si>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</si>
  <si>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</si>
  <si>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</si>
  <si>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</si>
  <si>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</si>
  <si>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</si>
  <si>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</si>
  <si>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</si>
  <si>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</si>
  <si>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</si>
  <si>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</si>
  <si>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</si>
  <si>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</si>
  <si>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</si>
  <si>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</si>
  <si>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</si>
  <si>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</si>
  <si>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</si>
  <si>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</si>
  <si>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</si>
  <si>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</si>
  <si>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</si>
  <si>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</si>
  <si>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</si>
  <si>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</si>
  <si>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</si>
  <si>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</si>
  <si>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</si>
  <si>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</si>
  <si>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</si>
  <si>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</si>
  <si>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</si>
  <si>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</si>
  <si>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</si>
  <si>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</si>
  <si>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</si>
  <si>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</si>
  <si>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</si>
  <si>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</si>
  <si>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</si>
  <si>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</si>
  <si>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</si>
  <si>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</si>
  <si>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</si>
  <si>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</si>
  <si>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</si>
  <si>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</si>
  <si>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</si>
  <si>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</si>
  <si>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</si>
  <si>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</si>
  <si>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</si>
  <si>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</si>
  <si>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</si>
  <si>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</si>
  <si>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</si>
  <si>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</si>
  <si>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</si>
  <si>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</si>
  <si>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</si>
  <si>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</si>
  <si>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</si>
  <si>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</si>
  <si>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</si>
  <si>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</si>
  <si>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</si>
  <si>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</si>
  <si>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</si>
  <si>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</si>
  <si>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</si>
  <si>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</si>
  <si>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</si>
  <si>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</si>
  <si>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</si>
  <si>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</si>
  <si>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</si>
  <si>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</si>
  <si>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</si>
  <si>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</si>
  <si>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</si>
  <si>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</si>
  <si>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</si>
  <si>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</si>
  <si>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</si>
  <si>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</si>
  <si>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</si>
  <si>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</si>
  <si>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</si>
  <si>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</si>
  <si>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</si>
  <si>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</si>
  <si>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</si>
  <si>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</si>
  <si>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</si>
  <si>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</si>
  <si>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</si>
  <si>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</si>
  <si>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</si>
  <si>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</si>
  <si>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</si>
  <si>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</si>
  <si>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</si>
  <si>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</si>
  <si>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</si>
  <si>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</si>
  <si>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</si>
  <si>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</si>
  <si>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</si>
  <si>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</si>
  <si>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</si>
  <si>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</si>
  <si>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</si>
  <si>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</si>
  <si>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</si>
  <si>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</si>
  <si>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</si>
  <si>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</si>
  <si>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</si>
  <si>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</si>
  <si>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</si>
  <si>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</si>
  <si>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</si>
  <si>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</si>
  <si>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</si>
  <si>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</si>
  <si>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</si>
  <si>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</si>
  <si>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</si>
  <si>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</si>
  <si>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</si>
  <si>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</si>
  <si>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</si>
  <si>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</si>
  <si>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</si>
  <si>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</si>
  <si>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</si>
  <si>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</si>
  <si>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</si>
  <si>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</si>
  <si>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</si>
  <si>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</si>
  <si>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</si>
  <si>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</si>
  <si>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</si>
  <si>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</si>
  <si>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</si>
  <si>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</si>
  <si>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</si>
  <si>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</si>
  <si>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</si>
  <si>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</si>
  <si>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</si>
  <si>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</si>
  <si>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</si>
  <si>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</si>
  <si>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</si>
  <si>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</si>
  <si>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</si>
  <si>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</si>
  <si>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</si>
  <si>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</si>
  <si>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</si>
  <si>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</si>
  <si>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</si>
  <si>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</si>
  <si>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</si>
  <si>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</si>
  <si>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</si>
  <si>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</si>
  <si>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</si>
  <si>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</si>
  <si>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</si>
  <si>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</si>
  <si>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</si>
  <si>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</si>
  <si>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</si>
  <si>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</si>
  <si>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</si>
  <si>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</si>
  <si>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</si>
  <si>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</si>
  <si>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</si>
  <si>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</si>
  <si>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</si>
  <si>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</si>
  <si>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</si>
  <si>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</si>
  <si>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</si>
  <si>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</si>
  <si>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</si>
  <si>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</si>
  <si>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</si>
  <si>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</si>
  <si>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</si>
  <si>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</si>
  <si>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</si>
  <si>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</si>
  <si>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</si>
  <si>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</si>
  <si>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</si>
  <si>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</si>
  <si>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</si>
  <si>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</si>
  <si>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</si>
  <si>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</si>
  <si>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</si>
  <si>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</si>
  <si>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</si>
  <si>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</si>
  <si>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</si>
  <si>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</si>
  <si>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</si>
  <si>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</si>
  <si>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</si>
  <si>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</si>
  <si>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</si>
  <si>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</si>
  <si>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</si>
  <si>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</si>
  <si>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</si>
  <si>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</si>
  <si>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</si>
  <si>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</si>
  <si>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</si>
  <si>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</si>
  <si>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</si>
  <si>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</si>
  <si>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</si>
  <si>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</si>
  <si>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</si>
  <si>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</si>
  <si>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</si>
  <si>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</si>
  <si>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</si>
  <si>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</si>
  <si>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</si>
  <si>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</si>
  <si>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</si>
  <si>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</si>
  <si>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</si>
  <si>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</si>
  <si>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</si>
  <si>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</si>
  <si>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</si>
  <si>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</si>
  <si>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</si>
  <si>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</si>
  <si>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</si>
  <si>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</si>
  <si>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</si>
  <si>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</si>
  <si>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</si>
  <si>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</si>
  <si>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</si>
  <si>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</si>
  <si>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</si>
  <si>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</si>
  <si>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</si>
  <si>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</si>
  <si>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</si>
  <si>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</si>
  <si>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</si>
  <si>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</si>
  <si>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</si>
  <si>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</si>
  <si>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</si>
  <si>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</si>
  <si>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</si>
  <si>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</si>
  <si>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</si>
  <si>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</si>
  <si>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</si>
  <si>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</si>
  <si>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</si>
  <si>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</si>
  <si>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</si>
  <si>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</si>
  <si>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</si>
  <si>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</si>
  <si>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</si>
  <si>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</si>
  <si>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</si>
  <si>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</si>
  <si>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</si>
  <si>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</si>
  <si>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</si>
  <si>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</si>
  <si>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</si>
  <si>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</si>
  <si>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</si>
  <si>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</si>
  <si>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</si>
  <si>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</si>
  <si>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</si>
  <si>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</si>
  <si>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</si>
  <si>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</si>
  <si>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</si>
  <si>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</si>
  <si>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</si>
  <si>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</si>
  <si>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</si>
  <si>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</si>
  <si>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</si>
  <si>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</si>
  <si>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</si>
  <si>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</si>
  <si>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</si>
  <si>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</si>
  <si>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</si>
  <si>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</si>
  <si>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</si>
  <si>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</si>
  <si>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</si>
  <si>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</si>
  <si>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</si>
  <si>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</si>
  <si>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</si>
  <si>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</si>
  <si>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</si>
  <si>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</si>
  <si>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</si>
  <si>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</si>
  <si>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</si>
  <si>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</si>
  <si>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</si>
  <si>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</si>
  <si>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</si>
  <si>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</si>
  <si>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</si>
  <si>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</si>
  <si>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</si>
  <si>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</si>
  <si>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</si>
  <si>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</si>
  <si>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</si>
  <si>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</si>
  <si>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</si>
  <si>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</si>
  <si>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</si>
  <si>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</si>
  <si>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</si>
  <si>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</si>
  <si>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</si>
  <si>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</si>
  <si>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</si>
  <si>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</si>
  <si>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</si>
  <si>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</si>
  <si>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</si>
  <si>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</si>
  <si>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</si>
  <si>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</si>
  <si>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</si>
  <si>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</si>
  <si>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</si>
  <si>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</si>
  <si>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</si>
  <si>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</si>
  <si>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</si>
  <si>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</si>
  <si>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</si>
  <si>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</si>
  <si>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</si>
  <si>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</si>
  <si>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</si>
  <si>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</si>
  <si>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</si>
  <si>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</si>
  <si>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</si>
  <si>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</si>
  <si>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</si>
  <si>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</si>
  <si>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</si>
  <si>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</si>
  <si>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</si>
  <si>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</si>
  <si>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</si>
  <si>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</si>
  <si>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</si>
  <si>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</si>
  <si>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</si>
  <si>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</si>
  <si>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</si>
  <si>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</si>
  <si>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</si>
  <si>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</si>
  <si>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</si>
  <si>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</si>
  <si>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</si>
  <si>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</si>
  <si>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</si>
  <si>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</si>
  <si>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</si>
  <si>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</si>
  <si>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</si>
  <si>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</si>
  <si>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</si>
  <si>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</si>
  <si>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</si>
  <si>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</si>
  <si>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</si>
  <si>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</si>
  <si>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</si>
  <si>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</si>
  <si>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</si>
  <si>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</si>
  <si>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</si>
  <si>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</si>
  <si>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</si>
  <si>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</si>
  <si>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</si>
  <si>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</si>
  <si>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</si>
  <si>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</si>
  <si>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</si>
  <si>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</si>
  <si>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</si>
  <si>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</si>
  <si>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</si>
  <si>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</si>
  <si>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</si>
  <si>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</si>
  <si>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</si>
  <si>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</si>
  <si>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</si>
  <si>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</si>
  <si>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</si>
  <si>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</si>
  <si>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</si>
  <si>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</si>
  <si>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</si>
  <si>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</si>
  <si>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</si>
  <si>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</si>
  <si>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</si>
  <si>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</si>
  <si>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</si>
  <si>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</si>
  <si>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</si>
  <si>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</si>
  <si>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</si>
  <si>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</si>
  <si>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</si>
  <si>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</si>
  <si>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</si>
  <si>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</si>
  <si>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</si>
  <si>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</si>
  <si>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</si>
  <si>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</si>
  <si>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</si>
  <si>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</si>
  <si>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</si>
  <si>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</si>
  <si>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</si>
  <si>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</si>
  <si>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</si>
  <si>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</si>
  <si>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</si>
  <si>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</si>
  <si>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</si>
  <si>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</si>
  <si>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</si>
  <si>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</si>
  <si>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</si>
  <si>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</si>
  <si>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</si>
  <si>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</si>
  <si>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</si>
  <si>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</si>
  <si>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</si>
  <si>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</si>
  <si>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</si>
  <si>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</si>
  <si>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</si>
  <si>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</si>
  <si>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</si>
  <si>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</si>
  <si>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</si>
  <si>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</si>
  <si>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</si>
  <si>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</si>
  <si>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</si>
  <si>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</si>
  <si>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</si>
  <si>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</si>
  <si>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</si>
  <si>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</si>
  <si>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</si>
  <si>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</si>
  <si>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</si>
  <si>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</si>
  <si>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</si>
  <si>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</si>
  <si>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</si>
  <si>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</si>
  <si>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</si>
  <si>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</si>
  <si>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</si>
  <si>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</si>
  <si>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</si>
  <si>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</si>
  <si>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</si>
  <si>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</si>
  <si>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</si>
  <si>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</si>
  <si>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</si>
  <si>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</si>
  <si>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</si>
  <si>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</si>
  <si>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</si>
  <si>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</si>
  <si>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</si>
  <si>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</si>
  <si>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</si>
  <si>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</si>
  <si>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</si>
  <si>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</si>
  <si>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</si>
  <si>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</si>
  <si>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</si>
  <si>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</si>
  <si>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</si>
  <si>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</si>
  <si>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</si>
  <si>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</si>
  <si>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</si>
  <si>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</si>
  <si>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</si>
  <si>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</si>
  <si>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</si>
  <si>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</si>
  <si>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</si>
  <si>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</si>
  <si>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</si>
  <si>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</si>
  <si>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</si>
  <si>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</si>
  <si>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</si>
  <si>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</si>
  <si>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</si>
  <si>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</si>
  <si>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</si>
  <si>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</si>
  <si>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</si>
  <si>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</si>
  <si>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</si>
  <si>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</si>
  <si>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</si>
  <si>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</si>
  <si>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</si>
  <si>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</si>
  <si>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</si>
  <si>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</si>
  <si>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</si>
  <si>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</si>
  <si>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</si>
  <si>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</si>
  <si>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</si>
  <si>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</si>
  <si>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</si>
  <si>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</si>
  <si>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</si>
  <si>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</si>
  <si>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</si>
  <si>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</si>
  <si>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</si>
  <si>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</si>
  <si>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</si>
  <si>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</si>
  <si>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</si>
  <si>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</si>
  <si>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</si>
  <si>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</si>
  <si>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</si>
  <si>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</si>
  <si>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</si>
  <si>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</si>
  <si>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</si>
  <si>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</si>
  <si>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</si>
  <si>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</si>
  <si>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</si>
  <si>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</si>
  <si>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</si>
  <si>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</si>
  <si>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</si>
  <si>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</si>
  <si>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</si>
  <si>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</si>
  <si>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</si>
  <si>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</si>
  <si>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</si>
  <si>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</si>
  <si>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</si>
  <si>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</si>
  <si>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</si>
  <si>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</si>
  <si>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</si>
  <si>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</si>
  <si>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</si>
  <si>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</si>
  <si>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</si>
  <si>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</si>
  <si>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</si>
  <si>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</si>
  <si>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</si>
  <si>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</si>
  <si>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</si>
  <si>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</si>
  <si>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</si>
  <si>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</si>
  <si>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</si>
  <si>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</si>
  <si>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</si>
  <si>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</si>
  <si>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</si>
  <si>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</si>
  <si>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</si>
  <si>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</si>
  <si>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</si>
  <si>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</si>
  <si>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</si>
  <si>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</si>
  <si>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</si>
  <si>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</si>
  <si>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</si>
  <si>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</si>
  <si>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</si>
  <si>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</si>
  <si>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</si>
  <si>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</si>
  <si>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</si>
  <si>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</si>
  <si>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</si>
  <si>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</si>
  <si>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</si>
  <si>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</si>
  <si>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</si>
  <si>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</si>
  <si>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</si>
  <si>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</si>
  <si>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</si>
  <si>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</si>
  <si>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</si>
  <si>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</si>
  <si>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</si>
  <si>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</si>
  <si>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</si>
  <si>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</si>
  <si>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</si>
  <si>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</si>
  <si>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</si>
  <si>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</si>
  <si>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</si>
  <si>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</si>
  <si>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</si>
  <si>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</si>
  <si>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</si>
  <si>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</si>
  <si>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</si>
  <si>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</si>
  <si>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</si>
  <si>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</si>
  <si>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</si>
  <si>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</si>
  <si>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</si>
  <si>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</si>
  <si>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</si>
  <si>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</si>
  <si>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</si>
  <si>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</si>
  <si>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</si>
  <si>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</si>
  <si>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</si>
  <si>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</si>
  <si>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</si>
  <si>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</si>
  <si>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</si>
  <si>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</si>
  <si>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</si>
  <si>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</si>
  <si>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</si>
  <si>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</si>
  <si>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</si>
  <si>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</si>
  <si>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</si>
  <si>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</si>
  <si>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</si>
  <si>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</si>
  <si>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</si>
  <si>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</si>
  <si>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</si>
  <si>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</si>
  <si>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</si>
  <si>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</si>
  <si>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</si>
  <si>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</si>
  <si>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</si>
  <si>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</si>
  <si>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</si>
  <si>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</si>
  <si>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</si>
  <si>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</si>
  <si>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</si>
  <si>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</si>
  <si>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</si>
  <si>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</si>
  <si>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</si>
  <si>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</si>
  <si>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</si>
  <si>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</si>
  <si>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</si>
  <si>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</si>
  <si>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</si>
  <si>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</si>
  <si>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</si>
  <si>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</si>
  <si>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</si>
  <si>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</si>
  <si>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</si>
  <si>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</si>
  <si>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</si>
  <si>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</si>
  <si>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</si>
  <si>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</si>
  <si>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</si>
  <si>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</si>
  <si>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</si>
  <si>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</si>
  <si>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</si>
  <si>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</si>
  <si>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</si>
  <si>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</si>
  <si>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</si>
  <si>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</si>
  <si>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</si>
  <si>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</si>
  <si>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</si>
  <si>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</si>
  <si>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</si>
  <si>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</si>
  <si>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</si>
  <si>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</si>
  <si>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</si>
  <si>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</si>
  <si>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</si>
  <si>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</si>
  <si>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</si>
  <si>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</si>
  <si>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</si>
  <si>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</si>
  <si>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</si>
  <si>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</si>
  <si>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</si>
  <si>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</si>
  <si>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</si>
  <si>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</si>
  <si>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</si>
  <si>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</si>
  <si>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</si>
  <si>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</si>
  <si>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</si>
  <si>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</si>
  <si>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</si>
  <si>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</si>
  <si>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</si>
  <si>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</si>
  <si>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</si>
  <si>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</si>
  <si>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</si>
  <si>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</si>
  <si>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</si>
  <si>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</si>
  <si>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</si>
  <si>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</si>
  <si>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</si>
  <si>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</si>
  <si>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</si>
  <si>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</si>
  <si>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</si>
  <si>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</si>
  <si>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</si>
  <si>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</si>
  <si>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</si>
  <si>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</si>
  <si>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</si>
  <si>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</si>
  <si>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</si>
  <si>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</si>
  <si>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</si>
  <si>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</si>
  <si>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</si>
  <si>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</si>
  <si>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</si>
  <si>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</si>
  <si>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</si>
  <si>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</si>
  <si>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</si>
  <si>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</si>
  <si>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</si>
  <si>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</si>
  <si>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</si>
  <si>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</si>
  <si>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</si>
  <si>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</si>
  <si>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</si>
  <si>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</si>
  <si>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</si>
  <si>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</si>
  <si>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</si>
  <si>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</si>
  <si>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</si>
  <si>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</si>
  <si>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</si>
  <si>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</si>
  <si>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</si>
  <si>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</si>
  <si>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</si>
  <si>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</si>
  <si>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</si>
  <si>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</si>
  <si>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</si>
  <si>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</si>
  <si>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</si>
  <si>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</si>
  <si>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</si>
  <si>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</si>
  <si>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</si>
  <si>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</si>
  <si>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</si>
  <si>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</si>
  <si>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</si>
  <si>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</si>
  <si>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</si>
  <si>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</si>
  <si>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</si>
  <si>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</si>
  <si>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</si>
  <si>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</si>
  <si>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</si>
  <si>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</si>
  <si>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</si>
  <si>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</si>
  <si>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</si>
  <si>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</si>
  <si>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</si>
  <si>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</si>
  <si>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</si>
  <si>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</si>
  <si>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</si>
  <si>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</si>
  <si>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</si>
  <si>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</si>
  <si>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</si>
  <si>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</si>
  <si>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</si>
  <si>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</si>
  <si>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</si>
  <si>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</si>
  <si>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</si>
  <si>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</si>
  <si>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</si>
  <si>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</si>
  <si>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</si>
  <si>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</si>
  <si>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</si>
  <si>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</si>
  <si>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</si>
  <si>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</si>
  <si>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</si>
  <si>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</si>
  <si>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</si>
  <si>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</si>
  <si>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</si>
  <si>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</si>
  <si>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</si>
  <si>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</si>
  <si>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</si>
  <si>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</si>
  <si>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</si>
  <si>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</si>
  <si>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</si>
  <si>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</si>
  <si>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</si>
  <si>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</si>
  <si>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</si>
  <si>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</si>
  <si>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</si>
  <si>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</si>
  <si>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</si>
  <si>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</si>
  <si>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</si>
  <si>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</si>
  <si>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</si>
  <si>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</si>
  <si>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</si>
  <si>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</si>
  <si>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</si>
  <si>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</si>
  <si>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</si>
  <si>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</si>
  <si>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</si>
  <si>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</si>
  <si>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</si>
  <si>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</si>
  <si>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</si>
  <si>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</si>
  <si>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</si>
  <si>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</si>
  <si>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</si>
  <si>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</si>
  <si>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</si>
  <si>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</si>
  <si>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</si>
  <si>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</si>
  <si>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</si>
  <si>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</si>
  <si>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</si>
  <si>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</si>
  <si>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</si>
  <si>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</si>
  <si>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</si>
  <si>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</si>
  <si>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</si>
  <si>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</si>
  <si>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</si>
  <si>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</si>
  <si>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</si>
  <si>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</si>
  <si>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</si>
  <si>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</si>
  <si>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</si>
  <si>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</si>
  <si>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</si>
  <si>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</si>
  <si>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</si>
  <si>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</si>
  <si>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</si>
  <si>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</si>
  <si>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</si>
  <si>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</si>
  <si>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</si>
  <si>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</si>
  <si>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</si>
  <si>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</si>
  <si>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</si>
  <si>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</si>
  <si>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</si>
  <si>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</si>
  <si>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</si>
  <si>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</si>
  <si>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</si>
  <si>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</si>
  <si>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</si>
  <si>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</si>
  <si>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</si>
  <si>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</si>
  <si>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</si>
  <si>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</si>
  <si>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</si>
  <si>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</si>
  <si>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</si>
  <si>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</si>
  <si>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</si>
  <si>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</si>
  <si>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</si>
  <si>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</si>
  <si>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</si>
  <si>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</si>
  <si>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</si>
  <si>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</si>
  <si>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</si>
  <si>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</si>
  <si>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</si>
  <si>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</si>
  <si>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</si>
  <si>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</si>
  <si>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</si>
  <si>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</si>
  <si>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</si>
  <si>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</si>
  <si>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</si>
  <si>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</si>
  <si>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</si>
  <si>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</si>
  <si>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</si>
  <si>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</si>
  <si>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</si>
  <si>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</si>
  <si>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</si>
  <si>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</si>
  <si>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</si>
  <si>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</si>
  <si>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</si>
  <si>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</si>
  <si>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</si>
  <si>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</si>
  <si>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</si>
  <si>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</si>
  <si>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</si>
  <si>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</si>
  <si>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</si>
  <si>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</si>
  <si>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</si>
  <si>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</si>
  <si>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</si>
  <si>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</si>
  <si>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</si>
  <si>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</si>
  <si>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</si>
  <si>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</si>
  <si>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</si>
  <si>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</si>
  <si>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</si>
  <si>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</si>
  <si>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</si>
  <si>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</si>
  <si>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</si>
  <si>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</si>
  <si>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</si>
  <si>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</si>
  <si>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</si>
  <si>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</si>
  <si>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</si>
  <si>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</si>
  <si>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</si>
  <si>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</si>
  <si>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</si>
  <si>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</si>
  <si>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</si>
  <si>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</si>
  <si>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</si>
  <si>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</si>
  <si>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</si>
  <si>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</si>
  <si>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</si>
  <si>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</si>
  <si>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</si>
  <si>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</si>
  <si>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</si>
  <si>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</si>
  <si>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</si>
  <si>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</si>
  <si>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</si>
  <si>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</si>
  <si>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</si>
  <si>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</si>
  <si>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</si>
  <si>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</si>
  <si>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</si>
  <si>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</si>
  <si>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</si>
  <si>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</si>
  <si>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</si>
  <si>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</si>
  <si>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</si>
  <si>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</si>
  <si>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</si>
  <si>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</si>
  <si>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</si>
  <si>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</si>
  <si>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</si>
  <si>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</si>
  <si>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</si>
  <si>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</si>
  <si>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</si>
  <si>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</si>
  <si>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</si>
  <si>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</si>
  <si>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</si>
  <si>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</si>
  <si>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</si>
  <si>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</si>
  <si>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</si>
  <si>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</si>
  <si>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</si>
  <si>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</si>
  <si>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</si>
  <si>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</si>
  <si>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</si>
  <si>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</si>
  <si>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</si>
  <si>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</si>
  <si>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</si>
  <si>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</si>
  <si>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</si>
  <si>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</si>
  <si>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</si>
  <si>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</si>
  <si>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</si>
  <si>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</si>
  <si>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</si>
  <si>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</si>
  <si>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</si>
  <si>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</si>
  <si>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</si>
  <si>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</si>
  <si>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</si>
  <si>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</si>
  <si>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</si>
  <si>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</si>
  <si>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</si>
  <si>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</si>
  <si>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</si>
  <si>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</si>
  <si>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</si>
  <si>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</si>
  <si>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</si>
  <si>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</si>
  <si>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</si>
  <si>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</si>
  <si>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</si>
  <si>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</si>
  <si>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</si>
  <si>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</si>
  <si>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</si>
  <si>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</si>
  <si>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</si>
  <si>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</si>
  <si>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</si>
  <si>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</si>
  <si>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</si>
  <si>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</si>
  <si>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</si>
  <si>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</si>
  <si>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</si>
  <si>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</si>
  <si>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</si>
  <si>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</si>
  <si>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</si>
  <si>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</si>
  <si>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</si>
  <si>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</si>
  <si>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</si>
  <si>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</si>
  <si>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</si>
  <si>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</si>
  <si>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</si>
  <si>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</si>
  <si>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</si>
  <si>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</si>
  <si>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</si>
  <si>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</si>
  <si>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</si>
  <si>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</si>
  <si>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</si>
  <si>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</si>
  <si>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</si>
  <si>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</si>
  <si>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</si>
  <si>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</si>
  <si>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</si>
  <si>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</si>
  <si>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</si>
  <si>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</si>
  <si>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</si>
  <si>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</si>
  <si>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</si>
  <si>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</si>
  <si>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</si>
  <si>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</si>
  <si>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</si>
  <si>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</si>
  <si>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</si>
  <si>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</si>
  <si>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</si>
  <si>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</si>
  <si>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</si>
  <si>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</si>
  <si>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</si>
  <si>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</si>
  <si>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</si>
  <si>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</si>
  <si>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</si>
  <si>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</si>
  <si>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</si>
  <si>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</si>
  <si>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</si>
  <si>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</si>
  <si>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</si>
  <si>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</si>
  <si>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</si>
  <si>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</si>
  <si>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</si>
  <si>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</si>
  <si>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</si>
  <si>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</si>
  <si>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</si>
  <si>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</si>
  <si>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</si>
  <si>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</si>
  <si>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</si>
  <si>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</si>
  <si>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</si>
  <si>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</si>
  <si>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</si>
  <si>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</si>
  <si>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</si>
  <si>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</si>
  <si>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</si>
  <si>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</si>
  <si>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</si>
  <si>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</si>
  <si>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</si>
  <si>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</si>
  <si>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</si>
  <si>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</si>
  <si>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</si>
  <si>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</si>
  <si>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</si>
  <si>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</si>
  <si>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</si>
  <si>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</si>
  <si>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</si>
  <si>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</si>
  <si>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</si>
  <si>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</si>
  <si>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</si>
  <si>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</si>
  <si>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</si>
  <si>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</si>
  <si>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</si>
  <si>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</si>
  <si>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</si>
  <si>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</si>
  <si>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</si>
  <si>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</si>
  <si>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</si>
  <si>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</si>
  <si>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</si>
  <si>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</si>
  <si>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</si>
  <si>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</si>
  <si>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</si>
  <si>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</si>
  <si>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</si>
  <si>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</si>
  <si>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</si>
  <si>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</si>
  <si>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</si>
  <si>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</si>
  <si>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</si>
  <si>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</si>
  <si>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</si>
  <si>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</si>
  <si>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</si>
  <si>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</si>
  <si>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</si>
  <si>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</si>
  <si>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</si>
  <si>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</si>
  <si>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</si>
  <si>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</si>
  <si>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</si>
  <si>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</si>
  <si>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</si>
  <si>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</si>
  <si>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</si>
  <si>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</si>
  <si>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</si>
  <si>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</si>
  <si>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</si>
  <si>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</si>
  <si>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</si>
  <si>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</si>
  <si>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</si>
  <si>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</si>
  <si>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</si>
  <si>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</si>
  <si>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</si>
  <si>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</si>
  <si>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</si>
  <si>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</si>
  <si>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</si>
  <si>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</si>
  <si>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</si>
  <si>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</si>
  <si>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</si>
  <si>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</si>
  <si>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</si>
  <si>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</si>
  <si>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</si>
  <si>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</si>
  <si>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</si>
  <si>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</si>
  <si>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</si>
  <si>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</si>
  <si>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</si>
  <si>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</si>
  <si>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</si>
  <si>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</si>
  <si>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</si>
  <si>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</si>
  <si>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</si>
  <si>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</si>
  <si>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</si>
  <si>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</si>
  <si>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</si>
  <si>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</si>
  <si>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</si>
  <si>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</si>
  <si>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</si>
  <si>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</si>
  <si>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</si>
  <si>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</si>
  <si>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</si>
  <si>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</si>
  <si>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</si>
  <si>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</si>
  <si>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</si>
  <si>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</si>
  <si>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</si>
  <si>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</si>
  <si>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</si>
  <si>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</si>
  <si>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</si>
  <si>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</si>
  <si>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</si>
  <si>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</si>
  <si>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</si>
  <si>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</si>
  <si>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</si>
  <si>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</si>
  <si>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</si>
  <si>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</si>
  <si>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</si>
  <si>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</si>
  <si>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</si>
  <si>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</si>
  <si>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</si>
  <si>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</si>
  <si>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</si>
  <si>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</si>
  <si>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</si>
  <si>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</si>
  <si>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</si>
  <si>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</si>
  <si>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</si>
  <si>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</si>
  <si>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</si>
  <si>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</si>
  <si>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</si>
  <si>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</si>
  <si>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</si>
  <si>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</si>
  <si>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</si>
  <si>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</si>
  <si>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</si>
  <si>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</si>
  <si>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</si>
  <si>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</si>
  <si>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</si>
  <si>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</si>
  <si>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</si>
  <si>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</si>
  <si>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</si>
  <si>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</si>
  <si>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</si>
  <si>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</si>
  <si>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</si>
  <si>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</si>
  <si>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</si>
  <si>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</si>
  <si>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</si>
  <si>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</si>
  <si>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</si>
  <si>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</si>
  <si>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</si>
  <si>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</si>
  <si>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</si>
  <si>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</si>
  <si>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</si>
  <si>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</si>
  <si>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</si>
  <si>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</si>
  <si>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</si>
  <si>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</si>
  <si>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</si>
  <si>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</si>
  <si>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</si>
  <si>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</si>
  <si>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</si>
  <si>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</si>
  <si>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</si>
  <si>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</si>
  <si>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</si>
  <si>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</si>
  <si>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</si>
  <si>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</si>
  <si>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</si>
  <si>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</si>
  <si>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</si>
  <si>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</si>
  <si>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</si>
  <si>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</si>
  <si>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</si>
  <si>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</si>
  <si>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</si>
  <si>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</si>
  <si>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</si>
  <si>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</si>
  <si>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</si>
  <si>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</si>
  <si>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</si>
  <si>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</si>
  <si>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</si>
  <si>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</si>
  <si>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</si>
  <si>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</si>
  <si>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</si>
  <si>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</si>
  <si>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</si>
  <si>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</si>
  <si>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</si>
  <si>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</si>
  <si>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</si>
  <si>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</si>
  <si>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</si>
  <si>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</si>
  <si>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</si>
  <si>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</si>
  <si>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</si>
  <si>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</si>
  <si>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</si>
  <si>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</si>
  <si>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</si>
  <si>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</si>
  <si>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</si>
  <si>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</si>
  <si>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</si>
  <si>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</si>
  <si>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</si>
  <si>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</si>
  <si>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</si>
  <si>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</si>
  <si>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</si>
  <si>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</si>
  <si>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</si>
  <si>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</si>
  <si>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</si>
  <si>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</si>
  <si>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</si>
  <si>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</si>
  <si>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</si>
  <si>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</si>
  <si>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</si>
  <si>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</si>
  <si>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</si>
  <si>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</si>
  <si>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</si>
  <si>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</si>
  <si>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</si>
  <si>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</si>
  <si>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</si>
  <si>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</si>
  <si>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</si>
  <si>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</si>
  <si>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</si>
  <si>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</si>
  <si>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</si>
  <si>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</si>
  <si>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</si>
  <si>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</si>
  <si>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</si>
  <si>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</si>
  <si>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</si>
  <si>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</si>
  <si>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</si>
  <si>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</si>
  <si>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</si>
  <si>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</si>
  <si>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</si>
  <si>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</si>
  <si>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</si>
  <si>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</si>
  <si>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</si>
  <si>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</si>
  <si>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</si>
  <si>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</si>
  <si>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</si>
  <si>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</si>
  <si>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</si>
  <si>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</si>
  <si>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</si>
  <si>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</si>
  <si>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</si>
  <si>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</si>
  <si>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</si>
  <si>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</si>
  <si>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</si>
  <si>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</si>
  <si>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</si>
  <si>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</si>
  <si>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</si>
  <si>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</si>
  <si>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</si>
  <si>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</si>
  <si>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</si>
  <si>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</si>
  <si>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</si>
  <si>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</si>
  <si>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</si>
  <si>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</si>
  <si>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</si>
  <si>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</si>
  <si>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</si>
  <si>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</si>
  <si>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</si>
  <si>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</si>
  <si>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</si>
  <si>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</si>
  <si>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</si>
  <si>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</si>
  <si>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</si>
  <si>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</si>
  <si>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</si>
  <si>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</si>
  <si>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</si>
  <si>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</si>
  <si>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</si>
  <si>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</si>
  <si>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</si>
  <si>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</si>
  <si>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</si>
  <si>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</si>
  <si>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</si>
  <si>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</si>
  <si>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</si>
  <si>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</si>
  <si>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</si>
  <si>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</si>
  <si>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</si>
  <si>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</si>
  <si>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</si>
  <si>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</si>
  <si>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</si>
  <si>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</si>
  <si>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</si>
  <si>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</si>
  <si>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</si>
  <si>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</si>
  <si>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</si>
  <si>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</si>
  <si>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</si>
  <si>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</si>
  <si>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</si>
  <si>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</si>
  <si>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</si>
  <si>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</si>
  <si>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</si>
  <si>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</si>
  <si>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</si>
  <si>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</si>
  <si>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</si>
  <si>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</si>
  <si>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</si>
  <si>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</si>
  <si>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</si>
  <si>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</si>
  <si>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</si>
  <si>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</si>
  <si>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</si>
  <si>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</si>
  <si>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</si>
  <si>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</si>
  <si>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</si>
  <si>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</si>
  <si>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</si>
  <si>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</si>
  <si>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</si>
  <si>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</si>
  <si>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</si>
  <si>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</si>
  <si>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</si>
  <si>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</si>
  <si>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</si>
  <si>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</si>
  <si>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</si>
  <si>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</si>
  <si>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</si>
  <si>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</si>
  <si>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</si>
  <si>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</si>
  <si>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</si>
  <si>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</si>
  <si>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</si>
  <si>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</si>
  <si>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</si>
  <si>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</si>
  <si>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</si>
  <si>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</si>
  <si>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</si>
  <si>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</si>
  <si>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</si>
  <si>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</si>
  <si>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</si>
  <si>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</si>
  <si>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</si>
  <si>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</si>
  <si>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</si>
  <si>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</si>
  <si>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</si>
  <si>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</si>
  <si>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</si>
  <si>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</si>
  <si>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</si>
  <si>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</si>
  <si>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</si>
  <si>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</si>
  <si>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</si>
  <si>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</si>
  <si>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</si>
  <si>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</si>
  <si>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</si>
  <si>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</si>
  <si>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</si>
  <si>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</si>
  <si>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</si>
  <si>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</si>
  <si>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</si>
  <si>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</si>
  <si>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</si>
  <si>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</si>
  <si>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</si>
  <si>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</si>
  <si>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</si>
  <si>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</si>
  <si>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</si>
  <si>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</si>
  <si>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</si>
  <si>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</si>
  <si>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</si>
  <si>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</si>
  <si>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</si>
  <si>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</si>
  <si>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</si>
  <si>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</si>
  <si>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</si>
  <si>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</si>
  <si>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</si>
  <si>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</si>
  <si>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</si>
  <si>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</si>
  <si>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</si>
  <si>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</si>
  <si>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</si>
  <si>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</si>
  <si>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</si>
  <si>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</si>
  <si>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</si>
  <si>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</si>
  <si>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</si>
  <si>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</si>
  <si>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</si>
  <si>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</si>
  <si>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</si>
  <si>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</si>
  <si>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</si>
  <si>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</si>
  <si>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</si>
  <si>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</si>
  <si>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</si>
  <si>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</si>
  <si>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</si>
  <si>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</si>
  <si>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</si>
  <si>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</si>
  <si>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</si>
  <si>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</si>
  <si>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</si>
  <si>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</si>
  <si>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</si>
  <si>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</si>
  <si>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</si>
  <si>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</si>
  <si>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</si>
  <si>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</si>
  <si>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</si>
  <si>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</si>
  <si>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</si>
  <si>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</si>
  <si>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</si>
  <si>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</si>
  <si>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</si>
  <si>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</si>
  <si>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</si>
  <si>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</si>
  <si>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</si>
  <si>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</si>
  <si>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</si>
  <si>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</si>
  <si>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</si>
  <si>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</si>
  <si>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</si>
  <si>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</si>
  <si>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</si>
  <si>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</si>
  <si>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</si>
  <si>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</si>
  <si>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</si>
  <si>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</si>
  <si>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</si>
  <si>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</si>
  <si>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</si>
  <si>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</si>
  <si>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</si>
  <si>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</si>
  <si>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</si>
  <si>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</si>
  <si>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</si>
  <si>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</si>
  <si>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</si>
  <si>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</si>
  <si>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</si>
  <si>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</si>
  <si>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</si>
  <si>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</si>
  <si>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</si>
  <si>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</si>
  <si>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</si>
  <si>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</si>
  <si>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</si>
  <si>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</si>
  <si>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</si>
  <si>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</si>
  <si>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</si>
  <si>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</si>
  <si>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</si>
  <si>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</si>
  <si>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</si>
  <si>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</si>
  <si>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</si>
  <si>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</si>
  <si>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</si>
  <si>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</si>
  <si>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</si>
  <si>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</si>
  <si>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</si>
  <si>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</si>
  <si>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</si>
  <si>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</si>
  <si>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</si>
  <si>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</si>
  <si>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</si>
  <si>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</si>
  <si>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</si>
  <si>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</si>
  <si>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</si>
  <si>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</si>
  <si>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</si>
  <si>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</si>
  <si>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</si>
  <si>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</si>
  <si>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</si>
  <si>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</si>
  <si>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</si>
  <si>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</si>
  <si>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</si>
  <si>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</si>
  <si>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</si>
  <si>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</si>
  <si>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</si>
  <si>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</si>
  <si>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</si>
  <si>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</si>
  <si>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</si>
  <si>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</si>
  <si>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</si>
  <si>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</si>
  <si>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</si>
  <si>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</si>
  <si>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</si>
  <si>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</si>
  <si>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</si>
  <si>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</si>
  <si>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</si>
  <si>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</si>
  <si>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</si>
  <si>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</si>
  <si>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</si>
  <si>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</si>
  <si>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</si>
  <si>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</si>
  <si>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</si>
  <si>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</si>
  <si>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</si>
  <si>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</si>
  <si>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</si>
  <si>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</si>
  <si>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</si>
  <si>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</si>
  <si>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</si>
  <si>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</si>
  <si>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</si>
  <si>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</si>
  <si>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</si>
  <si>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</si>
  <si>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</si>
  <si>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</si>
  <si>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</si>
  <si>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</si>
  <si>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</si>
  <si>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</si>
  <si>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</si>
  <si>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</si>
  <si>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</si>
  <si>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</si>
  <si>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</si>
  <si>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</si>
  <si>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</si>
  <si>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</si>
  <si>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</si>
  <si>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</si>
  <si>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</si>
  <si>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</si>
  <si>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</si>
  <si>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</si>
  <si>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</si>
  <si>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</si>
  <si>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</si>
  <si>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</si>
  <si>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</si>
  <si>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</si>
  <si>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</si>
  <si>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</si>
  <si>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</si>
  <si>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</si>
  <si>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</si>
  <si>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</si>
  <si>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</si>
  <si>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</si>
  <si>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</si>
  <si>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</si>
  <si>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</si>
  <si>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</si>
  <si>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</si>
  <si>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</si>
  <si>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</si>
  <si>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</si>
  <si>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</si>
  <si>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</si>
  <si>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</si>
  <si>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</si>
  <si>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</si>
  <si>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</si>
  <si>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</si>
  <si>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</si>
  <si>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</si>
  <si>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</si>
  <si>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</si>
  <si>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</si>
  <si>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</si>
  <si>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</si>
  <si>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</si>
  <si>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</si>
  <si>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</si>
  <si>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</si>
  <si>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</si>
  <si>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</si>
  <si>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</si>
  <si>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</si>
  <si>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</si>
  <si>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</si>
  <si>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</si>
  <si>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</si>
  <si>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</si>
  <si>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</si>
  <si>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</si>
  <si>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</si>
  <si>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</si>
  <si>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</si>
  <si>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</si>
  <si>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</si>
  <si>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</si>
  <si>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</si>
  <si>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</si>
  <si>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</si>
  <si>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</si>
  <si>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</si>
  <si>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</si>
  <si>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</si>
  <si>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</si>
  <si>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</si>
  <si>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</si>
  <si>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</si>
  <si>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</si>
  <si>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</si>
  <si>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</si>
  <si>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</si>
  <si>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</si>
  <si>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</si>
  <si>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</si>
  <si>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</si>
  <si>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</si>
  <si>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</si>
  <si>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</si>
  <si>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</si>
  <si>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</si>
  <si>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</si>
  <si>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</si>
  <si>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</si>
  <si>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</si>
  <si>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</si>
  <si>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</si>
  <si>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</si>
  <si>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</si>
  <si>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</si>
  <si>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</si>
  <si>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</si>
  <si>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</si>
  <si>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</si>
  <si>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</si>
  <si>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</si>
  <si>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</si>
  <si>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</si>
  <si>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</si>
  <si>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</si>
  <si>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</si>
  <si>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</si>
  <si>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</si>
  <si>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</si>
  <si>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</si>
  <si>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</si>
  <si>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</si>
  <si>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</si>
  <si>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</si>
  <si>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</si>
  <si>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</si>
  <si>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</si>
  <si>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</si>
  <si>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</si>
  <si>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</si>
  <si>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</si>
  <si>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</si>
  <si>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</si>
  <si>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</si>
  <si>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</si>
  <si>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</si>
  <si>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</si>
  <si>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</si>
  <si>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</si>
  <si>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</si>
  <si>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</si>
  <si>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</si>
  <si>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</si>
  <si>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</si>
  <si>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</si>
  <si>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</si>
  <si>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</si>
  <si>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</si>
  <si>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</si>
  <si>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</si>
  <si>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</si>
  <si>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</si>
  <si>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</si>
  <si>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</si>
  <si>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</si>
  <si>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</si>
  <si>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</si>
  <si>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</si>
  <si>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</si>
  <si>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</si>
  <si>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</si>
  <si>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</si>
  <si>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</si>
  <si>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</si>
  <si>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</si>
  <si>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</si>
  <si>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</si>
  <si>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</si>
  <si>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</si>
  <si>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</si>
  <si>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</si>
  <si>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</si>
  <si>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</si>
  <si>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</si>
  <si>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</si>
  <si>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</si>
  <si>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</si>
  <si>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</si>
  <si>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</si>
  <si>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</si>
  <si>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</si>
  <si>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</si>
  <si>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</si>
  <si>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</si>
  <si>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</si>
  <si>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</si>
  <si>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</si>
  <si>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</si>
  <si>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</si>
  <si>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</si>
  <si>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</si>
  <si>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</si>
  <si>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</si>
  <si>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</si>
  <si>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</si>
  <si>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</si>
  <si>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</si>
  <si>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</si>
  <si>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</si>
  <si>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</si>
  <si>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</si>
  <si>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</si>
  <si>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</si>
  <si>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</si>
  <si>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</si>
  <si>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</si>
  <si>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</si>
  <si>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</si>
  <si>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</si>
  <si>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</si>
  <si>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</si>
  <si>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</si>
  <si>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</si>
  <si>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</si>
  <si>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</si>
  <si>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</si>
  <si>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</si>
  <si>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</si>
  <si>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</si>
  <si>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</si>
  <si>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</si>
  <si>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</si>
  <si>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</si>
  <si>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</si>
  <si>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</si>
  <si>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</si>
  <si>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</si>
  <si>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</si>
  <si>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</si>
  <si>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</si>
  <si>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</si>
  <si>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</si>
  <si>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</si>
  <si>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</si>
  <si>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</si>
  <si>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</si>
  <si>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</si>
  <si>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</si>
  <si>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</si>
  <si>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</si>
  <si>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</si>
  <si>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</si>
  <si>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</si>
  <si>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</si>
  <si>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</si>
  <si>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</si>
  <si>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</si>
  <si>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</si>
  <si>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</si>
  <si>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</si>
  <si>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</si>
  <si>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</si>
  <si>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</si>
  <si>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</si>
  <si>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</si>
  <si>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</si>
  <si>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</si>
  <si>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</si>
  <si>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</si>
  <si>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</si>
  <si>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</si>
  <si>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</si>
  <si>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</si>
  <si>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</si>
  <si>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</si>
  <si>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</si>
  <si>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</si>
  <si>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</si>
  <si>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</si>
  <si>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</si>
  <si>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</si>
  <si>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</si>
  <si>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</si>
  <si>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</si>
  <si>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</si>
  <si>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</si>
  <si>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</si>
  <si>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</si>
  <si>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</si>
  <si>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</si>
  <si>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</si>
  <si>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</si>
  <si>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</si>
  <si>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</si>
  <si>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</si>
  <si>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</si>
  <si>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</si>
  <si>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</si>
  <si>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</si>
  <si>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</si>
  <si>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</si>
  <si>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</si>
  <si>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</si>
  <si>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</si>
  <si>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</si>
  <si>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</si>
  <si>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</si>
  <si>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</si>
  <si>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</si>
  <si>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</si>
  <si>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</si>
  <si>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</si>
  <si>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</si>
  <si>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</si>
  <si>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</si>
  <si>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</si>
  <si>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</si>
  <si>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</si>
  <si>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</si>
  <si>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</si>
  <si>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</si>
  <si>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</si>
  <si>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</si>
  <si>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</si>
  <si>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</si>
  <si>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</si>
  <si>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</si>
  <si>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</si>
  <si>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</si>
  <si>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</si>
  <si>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</si>
  <si>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</si>
  <si>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</si>
  <si>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</si>
  <si>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</si>
  <si>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</si>
  <si>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</si>
  <si>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</si>
  <si>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</si>
  <si>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</si>
  <si>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</si>
  <si>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</si>
  <si>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</si>
  <si>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</si>
  <si>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</si>
  <si>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</si>
  <si>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</si>
  <si>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</si>
  <si>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</si>
  <si>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</si>
  <si>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</si>
  <si>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</si>
  <si>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</si>
  <si>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</si>
  <si>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</si>
  <si>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</si>
  <si>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</si>
  <si>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</si>
  <si>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</si>
  <si>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</si>
  <si>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</si>
  <si>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</si>
  <si>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</si>
  <si>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</si>
  <si>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</si>
  <si>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</si>
  <si>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</si>
  <si>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</si>
  <si>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</si>
  <si>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</si>
  <si>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</si>
  <si>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</si>
  <si>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</si>
  <si>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</si>
  <si>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</si>
  <si>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</si>
  <si>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</si>
  <si>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</si>
  <si>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</si>
  <si>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</si>
  <si>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</si>
  <si>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</si>
  <si>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</si>
  <si>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</si>
  <si>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</si>
  <si>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</si>
  <si>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</si>
  <si>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</si>
  <si>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</si>
  <si>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</si>
  <si>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</si>
  <si>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</si>
  <si>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</si>
  <si>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</si>
  <si>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</si>
  <si>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</si>
  <si>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</si>
  <si>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</si>
  <si>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</si>
  <si>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</si>
  <si>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</si>
  <si>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</si>
  <si>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</si>
  <si>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</si>
  <si>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</si>
  <si>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</si>
  <si>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</si>
  <si>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</si>
  <si>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</si>
  <si>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</si>
  <si>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</si>
  <si>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</si>
  <si>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</si>
  <si>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</si>
  <si>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</si>
  <si>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</si>
  <si>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</si>
  <si>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</si>
  <si>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</si>
  <si>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</si>
  <si>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</si>
  <si>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</si>
  <si>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</si>
  <si>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</si>
  <si>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</si>
  <si>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</si>
  <si>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</si>
  <si>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</si>
  <si>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</si>
  <si>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</si>
  <si>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</si>
  <si>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</si>
  <si>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</si>
  <si>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</si>
  <si>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</si>
  <si>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</si>
  <si>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</si>
  <si>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</si>
  <si>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</si>
  <si>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</si>
  <si>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</si>
  <si>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</si>
  <si>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</si>
  <si>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</si>
  <si>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</si>
  <si>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</si>
  <si>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</si>
  <si>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</si>
  <si>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</si>
  <si>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</si>
  <si>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</si>
  <si>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</si>
  <si>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</si>
  <si>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</si>
  <si>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</si>
  <si>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</si>
  <si>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</si>
  <si>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</si>
  <si>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</si>
  <si>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</si>
  <si>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</si>
  <si>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</si>
  <si>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</si>
  <si>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</si>
  <si>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</si>
  <si>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</si>
  <si>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</si>
  <si>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</si>
  <si>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</si>
  <si>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</si>
  <si>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</si>
  <si>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</si>
  <si>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</si>
  <si>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</si>
  <si>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</si>
  <si>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</si>
  <si>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</si>
  <si>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</si>
  <si>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</si>
  <si>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</si>
  <si>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</si>
  <si>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</si>
  <si>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</si>
  <si>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</si>
  <si>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</si>
  <si>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</si>
  <si>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</si>
  <si>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</si>
  <si>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</si>
  <si>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</si>
  <si>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</si>
  <si>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</si>
  <si>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</si>
  <si>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</si>
  <si>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</si>
  <si>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</si>
  <si>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</si>
  <si>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</si>
  <si>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</si>
  <si>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</si>
  <si>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</si>
  <si>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</si>
  <si>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</si>
  <si>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</si>
  <si>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</si>
  <si>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</si>
  <si>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</si>
  <si>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</si>
  <si>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</si>
  <si>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</si>
  <si>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</si>
  <si>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</si>
  <si>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</si>
  <si>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</si>
  <si>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</si>
  <si>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</si>
  <si>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</si>
  <si>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</si>
  <si>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</si>
  <si>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</si>
  <si>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</si>
  <si>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</si>
  <si>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</si>
  <si>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</si>
  <si>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</si>
  <si>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</si>
  <si>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</si>
  <si>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</si>
  <si>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</si>
  <si>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</si>
  <si>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</si>
  <si>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</si>
  <si>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</si>
  <si>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</si>
  <si>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</si>
  <si>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</si>
  <si>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</si>
  <si>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</si>
  <si>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</si>
  <si>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</si>
  <si>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</si>
  <si>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</si>
  <si>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</si>
  <si>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</si>
  <si>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</si>
  <si>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</si>
  <si>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</si>
  <si>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</si>
  <si>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</si>
  <si>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</si>
  <si>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</si>
  <si>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</si>
  <si>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</si>
  <si>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</si>
  <si>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</si>
  <si>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</si>
  <si>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</si>
  <si>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</si>
  <si>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</si>
  <si>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</si>
  <si>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</si>
  <si>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</si>
  <si>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</si>
  <si>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</si>
  <si>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</si>
  <si>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</si>
  <si>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</si>
  <si>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</si>
  <si>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</si>
  <si>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</si>
  <si>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</si>
  <si>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</si>
  <si>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</si>
  <si>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</si>
  <si>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</si>
  <si>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</si>
  <si>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</si>
  <si>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</si>
  <si>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</si>
  <si>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</si>
  <si>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</si>
  <si>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</si>
  <si>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</si>
  <si>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</si>
  <si>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</si>
  <si>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</si>
  <si>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</si>
  <si>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</si>
  <si>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</si>
  <si>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</si>
  <si>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</si>
  <si>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</si>
  <si>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</si>
  <si>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</si>
  <si>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</si>
  <si>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</si>
  <si>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</si>
  <si>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</si>
  <si>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</si>
  <si>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</si>
  <si>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</si>
  <si>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</si>
  <si>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</si>
  <si>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</si>
  <si>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</si>
  <si>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</si>
  <si>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</si>
  <si>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</si>
  <si>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</si>
  <si>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</si>
  <si>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</si>
  <si>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</si>
  <si>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</si>
  <si>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</si>
  <si>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</si>
  <si>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</si>
  <si>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</si>
  <si>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</si>
  <si>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</si>
  <si>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</si>
  <si>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</si>
  <si>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</si>
  <si>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</si>
  <si>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</si>
  <si>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</si>
  <si>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</si>
  <si>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</si>
  <si>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</si>
  <si>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</si>
  <si>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</si>
  <si>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</si>
  <si>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</si>
  <si>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</si>
  <si>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</si>
  <si>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</si>
  <si>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</si>
  <si>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</si>
  <si>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</si>
  <si>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</si>
  <si>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</si>
  <si>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</si>
  <si>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</si>
  <si>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</si>
  <si>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</si>
  <si>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</si>
  <si>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</si>
  <si>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</si>
  <si>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</si>
  <si>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</si>
  <si>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</si>
  <si>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</si>
  <si>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</si>
  <si>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</si>
  <si>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</si>
  <si>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</si>
  <si>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</si>
  <si>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</si>
  <si>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</si>
  <si>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</si>
  <si>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</si>
  <si>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</si>
  <si>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</si>
  <si>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</si>
  <si>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</si>
  <si>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</si>
  <si>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</si>
  <si>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</si>
  <si>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</si>
  <si>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</si>
  <si>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</si>
  <si>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</si>
  <si>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</si>
  <si>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</si>
  <si>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</si>
  <si>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</si>
  <si>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</si>
  <si>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</si>
  <si>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</si>
  <si>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</si>
  <si>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</si>
  <si>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</si>
  <si>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</si>
  <si>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</si>
  <si>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</si>
  <si>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</si>
  <si>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</si>
  <si>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</si>
  <si>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</si>
  <si>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</si>
  <si>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</si>
  <si>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</si>
  <si>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</si>
  <si>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</si>
  <si>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</si>
  <si>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</si>
  <si>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</si>
  <si>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</si>
  <si>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</si>
  <si>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</si>
  <si>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</si>
  <si>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</si>
  <si>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</si>
  <si>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</si>
  <si>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</si>
  <si>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</si>
  <si>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</si>
  <si>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</si>
  <si>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</si>
  <si>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</si>
  <si>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</si>
  <si>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</si>
  <si>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</si>
  <si>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</si>
  <si>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</si>
  <si>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</si>
  <si>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</si>
  <si>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</si>
  <si>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</si>
  <si>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</si>
  <si>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</si>
  <si>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</si>
  <si>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</si>
  <si>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</si>
  <si>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</si>
  <si>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</si>
  <si>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</si>
  <si>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</si>
  <si>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</si>
  <si>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</si>
  <si>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</si>
  <si>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</si>
  <si>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</si>
  <si>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</si>
  <si>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</si>
  <si>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</si>
  <si>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</si>
  <si>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</si>
  <si>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</si>
  <si>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</si>
  <si>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</si>
  <si>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</si>
  <si>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</si>
  <si>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</si>
  <si>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</si>
  <si>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</si>
  <si>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</si>
  <si>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</si>
  <si>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</si>
  <si>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</si>
  <si>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</si>
  <si>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</si>
  <si>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</si>
  <si>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</si>
  <si>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</si>
  <si>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</si>
  <si>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</si>
  <si>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</si>
  <si>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</si>
  <si>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</si>
  <si>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</si>
  <si>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</si>
  <si>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</si>
  <si>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</si>
  <si>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</si>
  <si>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</si>
  <si>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</si>
  <si>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</si>
  <si>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</si>
  <si>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</si>
  <si>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</si>
  <si>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</si>
  <si>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</si>
  <si>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</si>
  <si>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</si>
  <si>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</si>
  <si>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</si>
  <si>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</si>
  <si>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</si>
  <si>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</si>
  <si>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</si>
  <si>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</si>
  <si>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</si>
  <si>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</si>
  <si>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</si>
  <si>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</si>
  <si>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</si>
  <si>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</si>
  <si>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</si>
  <si>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</si>
  <si>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</si>
  <si>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</si>
  <si>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</si>
  <si>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</si>
  <si>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</si>
  <si>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</si>
  <si>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</si>
  <si>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</si>
  <si>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</si>
  <si>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</si>
  <si>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</si>
  <si>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</si>
  <si>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</si>
  <si>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</si>
  <si>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</si>
  <si>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</si>
  <si>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</si>
  <si>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</si>
  <si>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</si>
  <si>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</si>
  <si>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</si>
  <si>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</si>
  <si>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</si>
  <si>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</si>
  <si>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</si>
  <si>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</si>
  <si>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</si>
  <si>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</si>
  <si>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</si>
  <si>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</si>
  <si>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</si>
  <si>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</si>
  <si>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</si>
  <si>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</si>
  <si>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</si>
  <si>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</si>
  <si>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</si>
  <si>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</si>
  <si>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</si>
  <si>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</si>
  <si>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</si>
  <si>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</si>
  <si>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</si>
  <si>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</si>
  <si>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</si>
  <si>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</si>
  <si>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</si>
  <si>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</si>
  <si>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</si>
  <si>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</si>
  <si>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</si>
  <si>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</si>
  <si>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</si>
  <si>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</si>
  <si>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</si>
  <si>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</si>
  <si>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</si>
  <si>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</si>
  <si>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</si>
  <si>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</si>
  <si>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</si>
  <si>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</si>
  <si>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</si>
  <si>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</si>
  <si>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</si>
  <si>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</si>
  <si>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</si>
  <si>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</si>
  <si>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</si>
  <si>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</si>
  <si>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</si>
  <si>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</si>
  <si>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</si>
  <si>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</si>
  <si>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</si>
  <si>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</si>
  <si>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</si>
  <si>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</si>
  <si>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</si>
  <si>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</si>
  <si>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</si>
  <si>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</si>
  <si>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</si>
  <si>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</si>
  <si>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</si>
  <si>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</si>
  <si>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</si>
  <si>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</si>
  <si>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</si>
  <si>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</si>
  <si>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</si>
  <si>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</si>
  <si>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</si>
  <si>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</si>
  <si>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</si>
  <si>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</si>
  <si>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</si>
  <si>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</si>
  <si>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</si>
  <si>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</si>
  <si>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</si>
  <si>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</si>
  <si>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</si>
  <si>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</si>
  <si>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</si>
  <si>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</si>
  <si>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</si>
  <si>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</si>
  <si>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</si>
  <si>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</si>
  <si>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</si>
  <si>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</si>
  <si>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</si>
  <si>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</si>
  <si>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</si>
  <si>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</si>
  <si>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</si>
  <si>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</si>
  <si>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</si>
  <si>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</si>
  <si>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</si>
  <si>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</si>
  <si>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</si>
  <si>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</si>
  <si>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</si>
  <si>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</si>
  <si>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</si>
  <si>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</si>
  <si>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</si>
  <si>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</si>
  <si>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</si>
  <si>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</si>
  <si>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</si>
  <si>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</si>
  <si>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</si>
  <si>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</si>
  <si>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</si>
  <si>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</si>
  <si>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</si>
  <si>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</si>
  <si>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</si>
  <si>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</si>
  <si>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</si>
  <si>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</si>
  <si>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</si>
  <si>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</si>
  <si>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</si>
  <si>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</si>
  <si>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</si>
  <si>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</si>
  <si>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</si>
  <si>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</si>
  <si>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</si>
  <si>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</si>
  <si>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</si>
  <si>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</si>
  <si>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</si>
  <si>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</si>
  <si>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</si>
  <si>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</si>
  <si>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</si>
  <si>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</si>
  <si>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</si>
  <si>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</si>
  <si>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</si>
  <si>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</si>
  <si>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</si>
  <si>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</si>
  <si>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</si>
  <si>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</si>
  <si>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</si>
  <si>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</si>
  <si>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</si>
  <si>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</si>
  <si>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</si>
  <si>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</si>
  <si>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</si>
  <si>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</si>
  <si>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</si>
  <si>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</si>
  <si>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</si>
  <si>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</si>
  <si>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</si>
  <si>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</si>
  <si>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</si>
  <si>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</si>
  <si>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</si>
  <si>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</si>
  <si>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</si>
  <si>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</si>
  <si>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</si>
  <si>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</si>
  <si>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</si>
  <si>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</si>
  <si>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</si>
  <si>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</si>
  <si>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</si>
  <si>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</si>
  <si>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</si>
  <si>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</si>
  <si>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</si>
  <si>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</si>
  <si>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</si>
  <si>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</si>
  <si>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</si>
  <si>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</si>
  <si>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</si>
  <si>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</si>
  <si>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</si>
  <si>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</si>
  <si>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</si>
  <si>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</si>
  <si>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</si>
  <si>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</si>
  <si>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</si>
  <si>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</si>
  <si>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</si>
  <si>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</si>
  <si>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</si>
  <si>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</si>
  <si>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</si>
  <si>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</si>
  <si>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</si>
  <si>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</si>
  <si>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</si>
  <si>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</si>
  <si>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</si>
  <si>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</si>
  <si>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</si>
  <si>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</si>
  <si>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</si>
  <si>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</si>
  <si>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</si>
  <si>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</si>
  <si>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</si>
  <si>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</si>
  <si>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</si>
  <si>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</si>
  <si>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</si>
  <si>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</si>
  <si>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</si>
  <si>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</si>
  <si>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</si>
  <si>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</si>
  <si>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</si>
  <si>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</si>
  <si>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</si>
  <si>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</si>
  <si>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</si>
  <si>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</si>
  <si>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</si>
  <si>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</si>
  <si>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</si>
  <si>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</si>
  <si>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</si>
  <si>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</si>
  <si>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</si>
  <si>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</si>
  <si>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</si>
  <si>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</si>
  <si>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</si>
  <si>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</si>
  <si>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</si>
  <si>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</si>
  <si>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</si>
  <si>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</si>
  <si>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</si>
  <si>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</si>
  <si>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</si>
  <si>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</si>
  <si>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</si>
  <si>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</si>
  <si>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</si>
  <si>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</si>
  <si>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</si>
  <si>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</si>
  <si>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</si>
  <si>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</si>
  <si>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</si>
  <si>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</si>
  <si>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</si>
  <si>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</si>
  <si>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</si>
  <si>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</si>
  <si>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</si>
  <si>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</si>
  <si>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</si>
  <si>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</si>
  <si>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</si>
  <si>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</si>
  <si>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</si>
  <si>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</si>
  <si>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</si>
  <si>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</si>
  <si>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</si>
  <si>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</si>
  <si>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</si>
  <si>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</si>
  <si>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</si>
  <si>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</si>
  <si>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</si>
  <si>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</si>
  <si>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</si>
  <si>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</si>
  <si>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</si>
  <si>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</si>
  <si>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</si>
  <si>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</si>
  <si>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</si>
  <si>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</si>
  <si>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</si>
  <si>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</si>
  <si>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</si>
  <si>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</si>
  <si>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</si>
  <si>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</si>
  <si>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</si>
  <si>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</si>
  <si>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</si>
  <si>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</si>
  <si>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</si>
  <si>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</si>
  <si>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</si>
  <si>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</si>
  <si>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</si>
  <si>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</si>
  <si>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</si>
  <si>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</si>
  <si>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</si>
  <si>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</si>
  <si>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</si>
  <si>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</si>
  <si>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</si>
  <si>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</si>
  <si>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</si>
  <si>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</si>
  <si>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</si>
  <si>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</si>
  <si>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</si>
  <si>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</si>
  <si>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</si>
  <si>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</si>
  <si>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</si>
  <si>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</si>
  <si>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</si>
  <si>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</si>
  <si>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</si>
  <si>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</si>
  <si>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</si>
  <si>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</si>
  <si>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</si>
  <si>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</si>
  <si>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</si>
  <si>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</si>
  <si>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</si>
  <si>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</si>
  <si>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</si>
  <si>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</si>
  <si>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</si>
  <si>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</si>
  <si>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</si>
  <si>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</si>
  <si>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</si>
  <si>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</si>
  <si>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</si>
  <si>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</si>
  <si>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</si>
  <si>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</si>
  <si>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</si>
  <si>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</si>
  <si>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</si>
  <si>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</si>
  <si>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</si>
  <si>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</si>
  <si>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</si>
  <si>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</si>
  <si>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</si>
  <si>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</si>
  <si>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</si>
  <si>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</si>
  <si>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</si>
  <si>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</si>
  <si>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</si>
  <si>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</si>
  <si>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</si>
  <si>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</si>
  <si>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</si>
  <si>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</si>
  <si>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</si>
  <si>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</si>
  <si>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</si>
  <si>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</si>
  <si>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</si>
  <si>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</si>
  <si>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</si>
  <si>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</si>
  <si>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</si>
  <si>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</si>
  <si>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</si>
  <si>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</si>
  <si>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</si>
  <si>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</si>
  <si>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</si>
  <si>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</si>
  <si>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</si>
  <si>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</si>
  <si>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</si>
  <si>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</si>
  <si>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</si>
  <si>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</si>
  <si>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</si>
  <si>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</si>
  <si>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</si>
  <si>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</si>
  <si>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</si>
  <si>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</si>
  <si>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</si>
  <si>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</si>
  <si>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</si>
  <si>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</si>
  <si>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</si>
  <si>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</si>
  <si>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</si>
  <si>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</si>
  <si>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</si>
  <si>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</si>
  <si>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</si>
  <si>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</si>
  <si>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</si>
  <si>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</si>
  <si>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</si>
  <si>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</si>
  <si>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</si>
  <si>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</si>
  <si>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</si>
  <si>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</si>
  <si>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</si>
  <si>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</si>
  <si>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</si>
  <si>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</si>
  <si>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</si>
  <si>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</si>
  <si>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</si>
  <si>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</si>
  <si>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</si>
  <si>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</si>
  <si>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</si>
  <si>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</si>
  <si>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</si>
  <si>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</si>
  <si>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</si>
  <si>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</si>
  <si>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</si>
  <si>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</si>
  <si>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</si>
  <si>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</si>
  <si>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</si>
  <si>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</si>
  <si>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</si>
  <si>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</si>
  <si>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</si>
  <si>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</si>
  <si>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</si>
  <si>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</si>
  <si>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</si>
  <si>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</si>
  <si>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</si>
  <si>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</si>
  <si>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</si>
  <si>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</si>
  <si>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</si>
  <si>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</si>
  <si>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</si>
  <si>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</si>
  <si>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</si>
  <si>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</si>
  <si>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</si>
  <si>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</si>
  <si>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</si>
  <si>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</si>
  <si>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</si>
  <si>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</si>
  <si>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</si>
  <si>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</si>
  <si>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</si>
  <si>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</si>
  <si>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</si>
  <si>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</si>
  <si>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</si>
  <si>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</si>
  <si>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</si>
  <si>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</si>
  <si>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</si>
  <si>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</si>
  <si>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</si>
  <si>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</si>
  <si>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</si>
  <si>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</si>
  <si>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</si>
  <si>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</si>
  <si>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</si>
  <si>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</si>
  <si>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</si>
  <si>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</si>
  <si>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</si>
  <si>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</si>
  <si>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</si>
  <si>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</si>
  <si>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</si>
  <si>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</si>
  <si>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</si>
  <si>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</si>
  <si>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</si>
  <si>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</si>
  <si>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</si>
  <si>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</si>
  <si>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</si>
  <si>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</si>
  <si>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</si>
  <si>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</si>
  <si>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</si>
  <si>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</si>
  <si>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</si>
  <si>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</si>
  <si>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</si>
  <si>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</si>
  <si>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</si>
  <si>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</si>
  <si>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</si>
  <si>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</si>
  <si>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</si>
  <si>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</si>
  <si>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</si>
  <si>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</si>
  <si>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</si>
  <si>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</si>
  <si>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</si>
  <si>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</si>
  <si>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</si>
  <si>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</si>
  <si>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</si>
  <si>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</si>
  <si>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</si>
  <si>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</si>
  <si>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</si>
  <si>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</si>
  <si>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</si>
  <si>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</si>
  <si>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</si>
  <si>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</si>
  <si>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</si>
  <si>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</si>
  <si>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</si>
  <si>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</si>
  <si>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</si>
  <si>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</si>
  <si>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</si>
  <si>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</si>
  <si>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</si>
  <si>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</si>
  <si>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</si>
  <si>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</si>
  <si>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</si>
  <si>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</si>
  <si>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</si>
  <si>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</si>
  <si>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</si>
  <si>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</si>
  <si>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</si>
  <si>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</si>
  <si>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</si>
  <si>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</si>
  <si>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</si>
  <si>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</si>
  <si>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</si>
  <si>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</si>
  <si>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</si>
  <si>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</si>
  <si>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</si>
  <si>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</si>
  <si>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</si>
  <si>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</si>
  <si>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</si>
  <si>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</si>
  <si>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</si>
  <si>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</si>
  <si>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</si>
  <si>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</si>
  <si>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</si>
  <si>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</si>
  <si>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</si>
  <si>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</si>
  <si>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</si>
  <si>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</si>
  <si>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</si>
  <si>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</si>
  <si>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</si>
  <si>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</si>
  <si>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</si>
  <si>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</si>
  <si>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</si>
  <si>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</si>
  <si>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</si>
  <si>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</si>
  <si>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</si>
  <si>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</si>
  <si>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</si>
  <si>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</si>
  <si>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</si>
  <si>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</si>
  <si>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</si>
  <si>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</si>
  <si>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</si>
  <si>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</si>
  <si>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</si>
  <si>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</si>
  <si>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</si>
  <si>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</si>
  <si>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</si>
  <si>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</si>
  <si>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</si>
  <si>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</si>
  <si>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</si>
  <si>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</si>
  <si>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</si>
  <si>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</si>
  <si>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</si>
  <si>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</si>
  <si>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</si>
  <si>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</si>
  <si>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</si>
  <si>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</si>
  <si>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</si>
  <si>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</si>
  <si>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</si>
  <si>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</si>
  <si>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</si>
  <si>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</si>
  <si>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</si>
  <si>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</si>
  <si>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</si>
  <si>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</si>
  <si>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</si>
  <si>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</si>
  <si>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</si>
  <si>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</si>
  <si>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</si>
  <si>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</si>
  <si>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</si>
  <si>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</si>
  <si>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</si>
  <si>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</si>
  <si>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</si>
  <si>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</si>
  <si>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</si>
  <si>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</si>
  <si>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</si>
  <si>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</si>
  <si>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</si>
  <si>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</si>
  <si>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</si>
  <si>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</si>
  <si>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</si>
  <si>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</si>
  <si>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</si>
  <si>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</si>
  <si>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</si>
  <si>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</si>
  <si>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</si>
  <si>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</si>
  <si>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</si>
  <si>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</si>
  <si>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</si>
  <si>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</si>
  <si>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</si>
  <si>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</si>
  <si>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</si>
  <si>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</si>
  <si>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</si>
  <si>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</si>
  <si>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</si>
  <si>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</si>
  <si>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</si>
  <si>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</si>
  <si>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</si>
  <si>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</si>
  <si>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</si>
  <si>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</si>
  <si>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</si>
  <si>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</si>
  <si>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</si>
  <si>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</si>
  <si>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</si>
  <si>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</si>
  <si>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</si>
  <si>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</si>
  <si>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</si>
  <si>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</si>
  <si>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</si>
  <si>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</si>
  <si>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</si>
  <si>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</si>
  <si>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</si>
  <si>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</si>
  <si>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</si>
  <si>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</si>
  <si>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</si>
  <si>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</si>
  <si>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</si>
  <si>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</si>
  <si>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</si>
  <si>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</si>
  <si>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</si>
  <si>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</si>
  <si>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</si>
  <si>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</si>
  <si>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</si>
  <si>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</si>
  <si>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</si>
  <si>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</si>
  <si>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</si>
  <si>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</si>
  <si>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</si>
  <si>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</si>
  <si>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</si>
  <si>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</si>
  <si>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</si>
  <si>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</si>
  <si>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</si>
  <si>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</si>
  <si>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</si>
  <si>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</si>
  <si>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</si>
  <si>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</si>
  <si>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</si>
  <si>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</si>
  <si>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</si>
  <si>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</si>
  <si>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</si>
  <si>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</si>
  <si>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</si>
  <si>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</si>
  <si>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</si>
  <si>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</si>
  <si>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</si>
  <si>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</si>
  <si>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</si>
  <si>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</si>
  <si>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</si>
  <si>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</si>
  <si>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</si>
  <si>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</si>
  <si>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</si>
  <si>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</si>
  <si>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</si>
  <si>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</si>
  <si>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</si>
  <si>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</si>
  <si>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</si>
  <si>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</si>
  <si>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</si>
  <si>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</si>
  <si>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</si>
  <si>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</si>
  <si>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</si>
  <si>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</si>
  <si>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</si>
  <si>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</si>
  <si>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</si>
  <si>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</si>
  <si>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</si>
  <si>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</si>
  <si>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</si>
  <si>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</si>
  <si>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</si>
  <si>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</si>
  <si>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</si>
  <si>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</si>
  <si>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</si>
  <si>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</si>
  <si>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</si>
  <si>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</si>
  <si>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</si>
  <si>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</si>
  <si>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</si>
  <si>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</si>
  <si>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</si>
  <si>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</si>
  <si>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</si>
  <si>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</si>
  <si>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</si>
  <si>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</si>
  <si>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</si>
  <si>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</si>
  <si>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</si>
  <si>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</si>
  <si>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</si>
  <si>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</si>
  <si>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</si>
  <si>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</si>
  <si>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</si>
  <si>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</si>
  <si>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</si>
  <si>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</si>
  <si>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</si>
  <si>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</si>
  <si>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</si>
  <si>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</si>
  <si>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</si>
  <si>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</si>
  <si>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</si>
  <si>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</si>
  <si>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</si>
  <si>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</si>
  <si>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</si>
  <si>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</si>
  <si>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</si>
  <si>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</si>
  <si>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</si>
  <si>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</si>
  <si>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</si>
  <si>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</si>
  <si>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</si>
  <si>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</si>
  <si>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</si>
  <si>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</si>
  <si>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</si>
  <si>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</si>
  <si>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</si>
  <si>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</si>
  <si>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</si>
  <si>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</si>
  <si>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</si>
  <si>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</si>
  <si>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</si>
  <si>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</si>
  <si>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</si>
  <si>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</si>
  <si>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</si>
  <si>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</si>
  <si>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</si>
  <si>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</si>
  <si>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</si>
  <si>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</si>
  <si>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</si>
  <si>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</si>
  <si>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</si>
  <si>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</si>
  <si>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</si>
  <si>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</si>
  <si>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</si>
  <si>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</si>
  <si>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</si>
  <si>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</si>
  <si>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</si>
  <si>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</si>
  <si>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</si>
  <si>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</si>
  <si>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</si>
  <si>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</si>
  <si>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</si>
  <si>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</si>
  <si>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</si>
  <si>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</si>
  <si>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</si>
  <si>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</si>
  <si>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</si>
  <si>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</si>
  <si>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</si>
  <si>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</si>
  <si>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</si>
  <si>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</si>
  <si>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</si>
  <si>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</si>
  <si>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</si>
  <si>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</si>
  <si>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</si>
  <si>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</si>
  <si>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</si>
  <si>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</si>
  <si>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</si>
  <si>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</si>
  <si>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</si>
  <si>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</si>
  <si>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</si>
  <si>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</si>
  <si>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</si>
  <si>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</si>
  <si>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</si>
  <si>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</si>
  <si>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</si>
  <si>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</si>
  <si>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</si>
  <si>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</si>
  <si>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</si>
  <si>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</si>
  <si>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</si>
  <si>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</si>
  <si>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</si>
  <si>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</si>
  <si>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</si>
  <si>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</si>
  <si>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</si>
  <si>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</si>
  <si>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</si>
  <si>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</si>
  <si>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</si>
  <si>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</si>
  <si>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</si>
  <si>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</si>
  <si>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</si>
  <si>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</si>
  <si>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</si>
  <si>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</si>
  <si>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</si>
  <si>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</si>
  <si>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</si>
  <si>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</si>
  <si>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</si>
  <si>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</si>
  <si>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</si>
  <si>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</si>
  <si>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</si>
  <si>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</si>
  <si>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</si>
  <si>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</si>
  <si>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</si>
  <si>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</si>
  <si>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</si>
  <si>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</si>
  <si>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</si>
  <si>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</si>
  <si>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</si>
  <si>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</si>
  <si>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</si>
  <si>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</si>
  <si>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</si>
  <si>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</si>
  <si>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</si>
  <si>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</si>
  <si>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</si>
  <si>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</si>
  <si>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</si>
  <si>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</si>
  <si>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</si>
  <si>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</si>
  <si>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</si>
  <si>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</si>
  <si>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</si>
  <si>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</si>
  <si>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</si>
  <si>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</si>
  <si>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</si>
  <si>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</si>
  <si>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</si>
  <si>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</si>
  <si>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</si>
  <si>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</si>
  <si>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</si>
  <si>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</si>
  <si>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</si>
  <si>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</si>
  <si>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</si>
  <si>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</si>
  <si>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</si>
  <si>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</si>
  <si>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</si>
  <si>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</si>
  <si>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</si>
  <si>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</si>
  <si>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</si>
  <si>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</si>
  <si>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</si>
  <si>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</si>
  <si>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</si>
  <si>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</si>
  <si>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</si>
  <si>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</si>
  <si>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</si>
  <si>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</si>
  <si>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</si>
  <si>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</si>
  <si>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</si>
  <si>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</si>
  <si>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</si>
  <si>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</si>
  <si>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</si>
  <si>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</si>
  <si>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</si>
  <si>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</si>
  <si>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</si>
  <si>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</si>
  <si>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</si>
  <si>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</si>
  <si>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</si>
  <si>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</si>
  <si>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</si>
  <si>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</si>
  <si>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</si>
  <si>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</si>
  <si>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</si>
  <si>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</si>
  <si>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</si>
  <si>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</si>
  <si>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</si>
  <si>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</si>
  <si>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</si>
  <si>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</si>
  <si>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</si>
  <si>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</si>
  <si>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</si>
  <si>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</si>
  <si>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</si>
  <si>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</si>
  <si>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</si>
  <si>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</si>
  <si>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</si>
  <si>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</si>
  <si>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</si>
  <si>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</si>
  <si>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</si>
  <si>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</si>
  <si>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</si>
  <si>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</si>
  <si>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</si>
  <si>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</si>
  <si>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</si>
  <si>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</si>
  <si>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</si>
  <si>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</si>
  <si>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</si>
  <si>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</si>
  <si>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</si>
  <si>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</si>
  <si>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</si>
  <si>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</si>
  <si>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</si>
  <si>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</si>
  <si>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</si>
  <si>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</si>
  <si>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</si>
  <si>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</si>
  <si>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</si>
  <si>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</si>
  <si>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</si>
  <si>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</si>
  <si>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</si>
  <si>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</si>
  <si>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</si>
  <si>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</si>
  <si>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</si>
  <si>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</si>
  <si>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</si>
  <si>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</si>
  <si>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</si>
  <si>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</si>
  <si>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</si>
  <si>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</si>
  <si>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</si>
  <si>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</si>
  <si>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</si>
  <si>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</si>
  <si>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</si>
  <si>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</si>
  <si>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</si>
  <si>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</si>
  <si>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</si>
  <si>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</si>
  <si>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</si>
  <si>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</si>
  <si>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</si>
  <si>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</si>
  <si>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</si>
  <si>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</si>
  <si>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</si>
  <si>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</si>
  <si>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</si>
  <si>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</si>
  <si>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</si>
  <si>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</si>
  <si>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</si>
  <si>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</si>
  <si>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</si>
  <si>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</si>
  <si>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</si>
  <si>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</si>
  <si>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</si>
  <si>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</si>
  <si>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</si>
  <si>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</si>
  <si>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</si>
  <si>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</si>
  <si>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</si>
  <si>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</si>
  <si>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</si>
  <si>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</si>
  <si>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</si>
  <si>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</si>
  <si>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</si>
  <si>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</si>
  <si>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</si>
  <si>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</si>
  <si>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</si>
  <si>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</si>
  <si>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</si>
  <si>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</si>
  <si>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</si>
  <si>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</si>
  <si>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</si>
  <si>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</si>
  <si>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</si>
  <si>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</si>
  <si>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</si>
  <si>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</si>
  <si>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</si>
  <si>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</si>
  <si>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</si>
  <si>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</si>
  <si>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</si>
  <si>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</si>
  <si>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</si>
  <si>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</si>
  <si>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</si>
  <si>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</si>
  <si>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</si>
  <si>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</si>
  <si>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</si>
  <si>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</si>
  <si>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</si>
  <si>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</si>
  <si>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</si>
  <si>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</si>
  <si>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</si>
  <si>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</si>
  <si>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</si>
  <si>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</si>
  <si>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</si>
  <si>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</si>
  <si>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</si>
  <si>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</si>
  <si>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</si>
  <si>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</si>
  <si>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</si>
  <si>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</si>
  <si>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</si>
  <si>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</si>
  <si>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</si>
  <si>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</si>
  <si>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</si>
  <si>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</si>
  <si>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</si>
  <si>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</si>
  <si>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</si>
  <si>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</si>
  <si>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</si>
  <si>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</si>
  <si>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</si>
  <si>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</si>
  <si>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</si>
  <si>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</si>
  <si>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</si>
  <si>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</si>
  <si>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</si>
  <si>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</si>
  <si>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</si>
  <si>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</si>
  <si>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</si>
  <si>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</si>
  <si>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</si>
  <si>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</si>
  <si>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</si>
  <si>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</si>
  <si>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</si>
  <si>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</si>
  <si>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</si>
  <si>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</si>
  <si>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</si>
  <si>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</si>
  <si>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</si>
  <si>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</si>
  <si>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</si>
  <si>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</si>
  <si>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</si>
  <si>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</si>
  <si>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</si>
  <si>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</si>
  <si>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</si>
  <si>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</si>
  <si>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</si>
  <si>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</si>
  <si>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</si>
  <si>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</si>
  <si>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</si>
  <si>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</si>
  <si>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</si>
  <si>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</si>
  <si>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</si>
  <si>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</si>
  <si>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</si>
  <si>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</si>
  <si>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</si>
  <si>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</si>
  <si>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</si>
  <si>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</si>
  <si>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</si>
  <si>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</si>
  <si>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</si>
  <si>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</si>
  <si>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</si>
  <si>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</si>
  <si>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</si>
  <si>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</si>
  <si>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</si>
  <si>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</si>
  <si>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</si>
  <si>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</si>
  <si>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</si>
  <si>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</si>
  <si>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</si>
  <si>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</si>
  <si>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</si>
  <si>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</si>
  <si>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</si>
  <si>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</si>
  <si>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</si>
  <si>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</si>
  <si>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</si>
  <si>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</si>
  <si>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</si>
  <si>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</si>
  <si>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</si>
  <si>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</si>
  <si>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</si>
  <si>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</si>
  <si>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</si>
  <si>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</si>
  <si>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</si>
  <si>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</si>
  <si>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</si>
  <si>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</si>
  <si>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</si>
  <si>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</si>
  <si>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</si>
  <si>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</si>
  <si>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</si>
  <si>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</si>
  <si>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</si>
  <si>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</si>
  <si>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</si>
  <si>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</si>
  <si>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</si>
  <si>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</si>
  <si>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</si>
  <si>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</si>
  <si>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</si>
  <si>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</si>
  <si>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</si>
  <si>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</si>
  <si>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</si>
  <si>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</si>
  <si>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</si>
  <si>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</si>
  <si>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</si>
  <si>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</si>
  <si>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</si>
  <si>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</si>
  <si>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</si>
  <si>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</si>
  <si>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</si>
  <si>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</si>
  <si>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</si>
  <si>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</si>
  <si>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</si>
  <si>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</si>
  <si>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</si>
  <si>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</si>
  <si>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</si>
  <si>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</si>
  <si>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</si>
  <si>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</si>
  <si>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</si>
  <si>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</si>
  <si>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</si>
  <si>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</si>
  <si>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</si>
  <si>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</si>
  <si>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</si>
  <si>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</si>
  <si>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</si>
  <si>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</si>
  <si>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</si>
  <si>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</si>
  <si>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</si>
  <si>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</si>
  <si>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</si>
  <si>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</si>
  <si>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</si>
  <si>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</si>
  <si>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</si>
  <si>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</si>
  <si>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</si>
  <si>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</si>
  <si>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</si>
  <si>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</si>
  <si>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</si>
  <si>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</si>
  <si>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</si>
  <si>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</si>
  <si>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</si>
  <si>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</si>
  <si>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</si>
  <si>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</si>
  <si>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</si>
  <si>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</si>
  <si>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</si>
  <si>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</si>
  <si>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</si>
  <si>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</si>
  <si>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</si>
  <si>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</si>
  <si>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</si>
  <si>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</si>
  <si>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</si>
  <si>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</si>
  <si>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</si>
  <si>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</si>
  <si>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</si>
  <si>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</si>
  <si>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</si>
  <si>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</si>
  <si>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</si>
  <si>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</si>
  <si>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</si>
  <si>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</si>
  <si>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</si>
  <si>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</si>
  <si>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</si>
  <si>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</si>
  <si>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</si>
  <si>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</si>
  <si>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</si>
  <si>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</si>
  <si>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</si>
  <si>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</si>
  <si>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</si>
  <si>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</si>
  <si>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</si>
  <si>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</si>
  <si>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</si>
  <si>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</si>
  <si>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</si>
  <si>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</si>
  <si>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</si>
  <si>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</si>
  <si>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</si>
  <si>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</si>
  <si>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</si>
  <si>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</si>
  <si>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</si>
  <si>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</si>
  <si>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</si>
  <si>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</si>
  <si>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</si>
  <si>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</si>
  <si>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</si>
  <si>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</si>
  <si>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</si>
  <si>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</si>
  <si>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</si>
  <si>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</si>
  <si>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</si>
  <si>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</si>
  <si>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</si>
  <si>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</si>
  <si>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</si>
  <si>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</si>
  <si>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</si>
  <si>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</si>
  <si>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</si>
  <si>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</si>
  <si>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</si>
  <si>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</si>
  <si>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</si>
  <si>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</si>
  <si>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</si>
  <si>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</si>
  <si>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</si>
  <si>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</si>
  <si>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</si>
  <si>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</si>
  <si>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</si>
  <si>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</si>
  <si>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</si>
  <si>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</si>
  <si>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</si>
  <si>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</si>
  <si>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</si>
  <si>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</si>
  <si>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</si>
  <si>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</si>
  <si>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</si>
  <si>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</si>
  <si>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</si>
  <si>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</si>
  <si>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</si>
  <si>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</si>
  <si>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</si>
  <si>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</si>
  <si>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</si>
  <si>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</si>
  <si>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</si>
  <si>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</si>
  <si>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</si>
  <si>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</si>
  <si>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</si>
  <si>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</si>
  <si>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</si>
  <si>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</si>
  <si>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</si>
  <si>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</si>
  <si>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</si>
  <si>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</si>
  <si>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</si>
  <si>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</si>
  <si>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</si>
  <si>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</si>
  <si>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</si>
  <si>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</si>
  <si>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</si>
  <si>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</si>
  <si>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</si>
  <si>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</si>
  <si>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</si>
  <si>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</si>
  <si>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</si>
  <si>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</si>
  <si>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</si>
  <si>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</si>
  <si>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</si>
  <si>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</si>
  <si>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</si>
  <si>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</si>
  <si>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</si>
  <si>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</si>
  <si>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</si>
  <si>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</si>
  <si>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</si>
  <si>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</si>
  <si>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</si>
  <si>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</si>
  <si>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</si>
  <si>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</si>
  <si>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</si>
  <si>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</si>
  <si>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</si>
  <si>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</si>
  <si>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</si>
  <si>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</si>
  <si>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</si>
  <si>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</si>
  <si>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</si>
  <si>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</si>
  <si>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</si>
  <si>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</si>
  <si>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</si>
  <si>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</si>
  <si>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</si>
  <si>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</si>
  <si>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</si>
  <si>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</si>
  <si>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</si>
  <si>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</si>
  <si>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</si>
  <si>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</si>
  <si>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</si>
  <si>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</si>
  <si>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</si>
  <si>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</si>
  <si>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</si>
  <si>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</si>
  <si>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</si>
  <si>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</si>
  <si>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</si>
  <si>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</si>
  <si>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</si>
  <si>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</si>
  <si>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</si>
  <si>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</si>
  <si>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</si>
  <si>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</si>
  <si>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</si>
  <si>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</si>
  <si>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</si>
  <si>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</si>
  <si>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</si>
  <si>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</si>
  <si>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</si>
  <si>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</si>
  <si>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</si>
  <si>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</si>
  <si>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</si>
  <si>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</si>
  <si>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</si>
  <si>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</si>
  <si>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</si>
  <si>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</si>
  <si>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</si>
  <si>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</si>
  <si>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</si>
  <si>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</si>
  <si>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</si>
  <si>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</si>
  <si>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</si>
  <si>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</si>
  <si>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</si>
  <si>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</si>
  <si>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</si>
  <si>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</si>
  <si>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</si>
  <si>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</si>
  <si>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</si>
  <si>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</si>
  <si>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</si>
  <si>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</si>
  <si>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</si>
  <si>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</si>
  <si>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</si>
  <si>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</si>
  <si>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</si>
  <si>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</si>
  <si>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</si>
  <si>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</si>
  <si>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</si>
  <si>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</si>
  <si>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</si>
  <si>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</si>
  <si>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</si>
  <si>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</si>
  <si>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</si>
  <si>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</si>
  <si>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</si>
  <si>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</si>
  <si>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</si>
  <si>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</si>
  <si>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</si>
  <si>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</si>
  <si>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</si>
  <si>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</si>
  <si>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</si>
  <si>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</si>
  <si>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</si>
  <si>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</si>
  <si>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</si>
  <si>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</si>
  <si>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</si>
  <si>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</si>
  <si>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</si>
  <si>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</si>
  <si>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</si>
  <si>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</si>
  <si>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</si>
  <si>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</si>
  <si>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</si>
  <si>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</si>
  <si>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</si>
  <si>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</si>
  <si>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</si>
  <si>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</si>
  <si>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</si>
  <si>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</si>
  <si>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</si>
  <si>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</si>
  <si>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</si>
  <si>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</si>
  <si>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</si>
  <si>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</si>
  <si>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</si>
  <si>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</si>
  <si>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</si>
  <si>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</si>
  <si>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</si>
  <si>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</si>
  <si>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</si>
  <si>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</si>
  <si>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</si>
  <si>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</si>
  <si>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</si>
  <si>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</si>
  <si>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</si>
  <si>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</si>
  <si>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</si>
  <si>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</si>
  <si>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</si>
  <si>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</si>
  <si>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</si>
  <si>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</si>
  <si>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</si>
  <si>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</si>
  <si>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</si>
  <si>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</si>
  <si>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</si>
  <si>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</si>
  <si>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</si>
  <si>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</si>
  <si>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</si>
  <si>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</si>
  <si>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</si>
  <si>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</si>
  <si>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</si>
  <si>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</si>
  <si>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</si>
  <si>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</si>
  <si>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</si>
  <si>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</si>
  <si>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</si>
  <si>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</si>
  <si>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</si>
  <si>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</si>
  <si>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</si>
  <si>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</si>
  <si>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</si>
  <si>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</si>
  <si>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</si>
  <si>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</si>
  <si>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</si>
  <si>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</si>
  <si>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</si>
  <si>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</si>
  <si>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</si>
  <si>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</si>
  <si>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</si>
  <si>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</si>
  <si>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</si>
  <si>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</si>
  <si>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</si>
  <si>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</si>
  <si>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</si>
  <si>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</si>
  <si>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</si>
  <si>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</si>
  <si>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</si>
  <si>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</si>
  <si>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</si>
  <si>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</si>
  <si>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</si>
  <si>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</si>
  <si>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</si>
  <si>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</si>
  <si>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</si>
  <si>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</si>
  <si>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</si>
  <si>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</si>
  <si>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</si>
  <si>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</si>
  <si>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</si>
  <si>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</si>
  <si>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</si>
  <si>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</si>
  <si>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</si>
  <si>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</si>
  <si>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</si>
  <si>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</si>
  <si>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</si>
  <si>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</si>
  <si>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</si>
  <si>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</si>
  <si>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</si>
  <si>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</si>
  <si>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</si>
  <si>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</si>
  <si>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</si>
  <si>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</si>
  <si>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</si>
  <si>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</si>
  <si>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</si>
  <si>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</si>
  <si>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</si>
  <si>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</si>
  <si>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</si>
  <si>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</si>
  <si>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</si>
  <si>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</si>
  <si>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</si>
  <si>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</si>
  <si>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</si>
  <si>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</si>
  <si>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</si>
  <si>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</si>
  <si>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</si>
  <si>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</si>
  <si>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</si>
  <si>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</si>
  <si>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</si>
  <si>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</si>
  <si>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</si>
  <si>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</si>
  <si>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</si>
  <si>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</si>
  <si>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</si>
  <si>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</si>
  <si>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</si>
  <si>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</si>
  <si>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</si>
  <si>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</si>
  <si>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</si>
  <si>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</si>
  <si>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</si>
  <si>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</si>
  <si>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</si>
  <si>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</si>
  <si>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</si>
  <si>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</si>
  <si>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</si>
  <si>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</si>
  <si>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</si>
  <si>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</si>
  <si>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</si>
  <si>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</si>
  <si>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</si>
  <si>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</si>
  <si>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</si>
  <si>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</si>
  <si>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</si>
  <si>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</si>
  <si>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</si>
  <si>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</si>
  <si>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</si>
  <si>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</si>
  <si>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</si>
  <si>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</si>
  <si>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</si>
  <si>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</si>
  <si>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</si>
  <si>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</si>
  <si>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</si>
  <si>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</si>
  <si>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</si>
  <si>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</si>
  <si>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</si>
  <si>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</si>
  <si>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</si>
  <si>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</si>
  <si>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</si>
  <si>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</si>
  <si>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</si>
  <si>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</si>
  <si>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</si>
  <si>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</si>
  <si>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</si>
  <si>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</si>
  <si>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</si>
  <si>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</si>
  <si>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</si>
  <si>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</si>
  <si>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</si>
  <si>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</si>
  <si>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</si>
  <si>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</si>
  <si>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</si>
  <si>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</si>
  <si>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</si>
  <si>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</si>
  <si>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</si>
  <si>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</si>
  <si>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</si>
  <si>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</si>
  <si>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</si>
  <si>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</si>
  <si>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</si>
  <si>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</si>
  <si>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</si>
  <si>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</si>
  <si>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</si>
  <si>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</si>
  <si>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</si>
  <si>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</si>
  <si>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</si>
  <si>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</si>
  <si>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</si>
  <si>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</si>
  <si>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</si>
  <si>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</si>
  <si>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</si>
  <si>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</si>
  <si>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</si>
  <si>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</si>
  <si>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</si>
  <si>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</si>
  <si>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</si>
  <si>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</si>
  <si>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</si>
  <si>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</si>
  <si>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</si>
  <si>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</si>
  <si>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</si>
  <si>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</si>
  <si>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</si>
  <si>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</si>
  <si>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</si>
  <si>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</si>
  <si>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</si>
  <si>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</si>
  <si>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</si>
  <si>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</si>
  <si>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</si>
  <si>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</si>
  <si>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</si>
  <si>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</si>
  <si>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</si>
  <si>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</si>
  <si>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</si>
  <si>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</si>
  <si>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</si>
  <si>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</si>
  <si>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</si>
  <si>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</si>
  <si>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</si>
  <si>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</si>
  <si>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</si>
  <si>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</si>
  <si>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</si>
  <si>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</si>
  <si>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</si>
  <si>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</si>
  <si>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</si>
  <si>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</si>
  <si>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</si>
  <si>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</si>
  <si>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</si>
  <si>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</si>
  <si>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</si>
  <si>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</si>
  <si>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</si>
  <si>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</si>
  <si>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</si>
  <si>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</si>
  <si>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</si>
  <si>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</si>
  <si>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</si>
  <si>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</si>
  <si>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</si>
  <si>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</si>
  <si>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</si>
  <si>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</si>
  <si>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</si>
  <si>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</si>
  <si>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</si>
  <si>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</si>
  <si>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</si>
  <si>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</si>
  <si>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</si>
  <si>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</si>
  <si>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</si>
  <si>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</si>
  <si>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</si>
  <si>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</si>
  <si>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</si>
  <si>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</si>
  <si>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</si>
  <si>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</si>
  <si>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</si>
  <si>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</si>
  <si>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</si>
  <si>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</si>
  <si>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</si>
  <si>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</si>
  <si>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</si>
  <si>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</si>
  <si>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</si>
  <si>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</si>
  <si>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</si>
  <si>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</si>
  <si>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</si>
  <si>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</si>
  <si>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</si>
  <si>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</si>
  <si>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</si>
  <si>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</si>
  <si>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</si>
  <si>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</si>
  <si>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</si>
  <si>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</si>
  <si>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</si>
  <si>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</si>
  <si>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</si>
  <si>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</si>
  <si>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</si>
  <si>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</si>
  <si>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</si>
  <si>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</si>
  <si>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</si>
  <si>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</si>
  <si>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</si>
  <si>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</si>
  <si>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</si>
  <si>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</si>
  <si>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</si>
  <si>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</si>
  <si>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</si>
  <si>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</si>
  <si>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</si>
  <si>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</si>
  <si>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</si>
  <si>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</si>
  <si>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</si>
  <si>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</si>
  <si>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</si>
  <si>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</si>
  <si>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</si>
  <si>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</si>
  <si>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</si>
  <si>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</si>
  <si>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</si>
  <si>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</si>
  <si>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</si>
  <si>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</si>
  <si>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</si>
  <si>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</si>
  <si>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</si>
  <si>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</si>
  <si>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</si>
  <si>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</si>
  <si>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</si>
  <si>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</si>
  <si>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</si>
  <si>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</si>
  <si>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</si>
  <si>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</si>
  <si>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</si>
  <si>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</si>
  <si>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</si>
  <si>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</si>
  <si>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</si>
  <si>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</si>
  <si>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</si>
  <si>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</si>
  <si>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</si>
  <si>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</si>
  <si>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</si>
  <si>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</si>
  <si>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</si>
  <si>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</si>
  <si>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</si>
  <si>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</si>
  <si>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</si>
  <si>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</si>
  <si>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</si>
  <si>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</si>
  <si>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</si>
  <si>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</si>
  <si>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</si>
  <si>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</si>
  <si>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</si>
  <si>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</si>
  <si>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</si>
  <si>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</si>
  <si>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</si>
  <si>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</si>
  <si>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</si>
  <si>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</si>
  <si>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</si>
  <si>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</si>
  <si>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</si>
  <si>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</si>
  <si>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</si>
  <si>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</si>
  <si>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</si>
  <si>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</si>
  <si>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</si>
  <si>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</si>
  <si>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</si>
  <si>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</si>
  <si>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</si>
  <si>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</si>
  <si>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</si>
  <si>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</si>
  <si>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</si>
  <si>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</si>
  <si>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</si>
  <si>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</si>
  <si>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</si>
  <si>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</si>
  <si>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</si>
  <si>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</si>
  <si>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</si>
  <si>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</si>
  <si>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</si>
  <si>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</si>
  <si>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</si>
  <si>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</si>
  <si>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</si>
  <si>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</si>
  <si>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</si>
  <si>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</si>
  <si>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</si>
  <si>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</si>
  <si>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</si>
  <si>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</si>
  <si>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</si>
  <si>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</si>
  <si>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</si>
  <si>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</si>
  <si>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</si>
  <si>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</si>
  <si>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</si>
  <si>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</si>
  <si>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</si>
  <si>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</si>
  <si>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</si>
  <si>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</si>
  <si>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</si>
  <si>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</si>
  <si>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</si>
  <si>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</si>
  <si>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</si>
  <si>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</si>
  <si>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</si>
  <si>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</si>
  <si>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</si>
  <si>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</si>
  <si>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</si>
  <si>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</si>
  <si>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</si>
  <si>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</si>
  <si>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</si>
  <si>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</si>
  <si>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</si>
  <si>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</si>
  <si>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</si>
  <si>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</si>
  <si>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</si>
  <si>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</si>
  <si>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</si>
  <si>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</si>
  <si>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</si>
  <si>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</si>
  <si>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</si>
  <si>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</si>
  <si>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</si>
  <si>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</si>
  <si>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</si>
  <si>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</si>
  <si>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</si>
  <si>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</si>
  <si>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</si>
  <si>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</si>
  <si>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</si>
  <si>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</si>
  <si>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</si>
  <si>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</si>
  <si>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</si>
  <si>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</si>
  <si>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</si>
  <si>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</si>
  <si>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</si>
  <si>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</si>
  <si>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</si>
  <si>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</si>
  <si>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</si>
  <si>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</si>
  <si>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</si>
  <si>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</si>
  <si>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</si>
  <si>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</si>
  <si>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</si>
  <si>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</si>
  <si>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</si>
  <si>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</si>
  <si>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</si>
  <si>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</si>
  <si>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</si>
  <si>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</si>
  <si>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</si>
  <si>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</si>
  <si>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</si>
  <si>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</si>
  <si>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</si>
  <si>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</si>
  <si>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</si>
  <si>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</si>
  <si>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</si>
  <si>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</si>
  <si>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</si>
  <si>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</si>
  <si>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</si>
  <si>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</si>
  <si>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</si>
  <si>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</si>
  <si>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</si>
  <si>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</si>
  <si>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</si>
  <si>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</si>
  <si>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</si>
  <si>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</si>
  <si>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</si>
  <si>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</si>
  <si>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</si>
  <si>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</si>
  <si>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</si>
  <si>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</si>
  <si>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</si>
  <si>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</si>
  <si>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</si>
  <si>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</si>
  <si>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</si>
  <si>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</si>
  <si>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</si>
  <si>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</si>
  <si>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</si>
  <si>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</si>
  <si>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</si>
  <si>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</si>
  <si>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</si>
  <si>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</si>
  <si>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</si>
  <si>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</si>
  <si>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</si>
  <si>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</si>
  <si>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</si>
  <si>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</si>
  <si>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</si>
  <si>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</si>
  <si>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</si>
  <si>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</si>
  <si>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</si>
  <si>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</si>
  <si>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</si>
  <si>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</si>
  <si>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</si>
  <si>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</si>
  <si>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</si>
  <si>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</si>
  <si>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</si>
  <si>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</si>
  <si>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</si>
  <si>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</si>
  <si>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</si>
  <si>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</si>
  <si>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</si>
  <si>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</si>
  <si>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</si>
  <si>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</si>
  <si>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</si>
  <si>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</si>
  <si>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</si>
  <si>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</si>
  <si>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</si>
  <si>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</si>
  <si>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</si>
  <si>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</si>
  <si>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</si>
  <si>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</si>
  <si>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</si>
  <si>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</si>
  <si>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</si>
  <si>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</si>
  <si>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</si>
  <si>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</si>
  <si>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</si>
  <si>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</si>
  <si>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</si>
  <si>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</si>
  <si>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</si>
  <si>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</si>
  <si>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</si>
  <si>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</si>
  <si>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</si>
  <si>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</si>
  <si>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</si>
  <si>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</si>
  <si>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</si>
  <si>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</si>
  <si>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</si>
  <si>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</si>
  <si>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</si>
  <si>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</si>
  <si>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</si>
  <si>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</si>
  <si>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</si>
  <si>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</si>
  <si>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</si>
  <si>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</si>
  <si>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</si>
  <si>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</si>
  <si>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</si>
  <si>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</si>
  <si>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</si>
  <si>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</si>
  <si>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</si>
  <si>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</si>
  <si>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</si>
  <si>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</si>
  <si>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</si>
  <si>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</si>
  <si>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</si>
  <si>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</si>
  <si>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</si>
  <si>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</si>
  <si>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</si>
  <si>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</si>
  <si>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</si>
  <si>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</si>
  <si>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</si>
  <si>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</si>
  <si>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</si>
  <si>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</si>
  <si>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</si>
  <si>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</si>
  <si>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</si>
  <si>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</si>
  <si>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</si>
  <si>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</si>
  <si>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</si>
  <si>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</si>
  <si>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</si>
  <si>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</si>
  <si>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</si>
  <si>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</si>
  <si>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</si>
  <si>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</si>
  <si>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</si>
  <si>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</si>
  <si>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</si>
  <si>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</si>
  <si>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</si>
  <si>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</si>
  <si>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</si>
  <si>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</si>
  <si>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</si>
  <si>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</si>
  <si>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</si>
  <si>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</si>
  <si>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</si>
  <si>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</si>
  <si>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</si>
  <si>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</si>
  <si>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</si>
  <si>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</si>
  <si>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</si>
  <si>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</si>
  <si>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</si>
  <si>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</si>
  <si>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</si>
  <si>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</si>
  <si>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</si>
  <si>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</si>
  <si>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</si>
  <si>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</si>
  <si>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</si>
  <si>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</si>
  <si>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</si>
  <si>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</si>
  <si>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</si>
  <si>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</si>
  <si>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</si>
  <si>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</si>
  <si>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</si>
  <si>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</si>
  <si>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</si>
  <si>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</si>
  <si>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</si>
  <si>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</si>
  <si>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</si>
  <si>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</si>
  <si>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</si>
  <si>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</si>
  <si>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</si>
  <si>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</si>
  <si>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</si>
  <si>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</si>
  <si>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</si>
  <si>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</si>
  <si>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</si>
  <si>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</si>
  <si>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</si>
  <si>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</si>
  <si>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</si>
  <si>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</si>
  <si>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</si>
  <si>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</si>
  <si>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</si>
  <si>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</si>
  <si>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</si>
  <si>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</si>
  <si>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</si>
  <si>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</si>
  <si>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</si>
  <si>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</si>
  <si>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</si>
  <si>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</si>
  <si>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</si>
  <si>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</si>
  <si>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</si>
  <si>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</si>
  <si>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</si>
  <si>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</si>
  <si>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</si>
  <si>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</si>
  <si>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</si>
  <si>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</si>
  <si>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</si>
  <si>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</si>
  <si>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</si>
  <si>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</si>
  <si>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</si>
  <si>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</si>
  <si>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</si>
  <si>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</si>
  <si>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</si>
  <si>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</si>
  <si>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</si>
  <si>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</si>
  <si>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</si>
  <si>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</si>
  <si>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</si>
  <si>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</si>
  <si>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</si>
  <si>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</si>
  <si>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</si>
  <si>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</si>
  <si>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</si>
  <si>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</si>
  <si>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</si>
  <si>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</si>
  <si>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</si>
  <si>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</si>
  <si>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</si>
  <si>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</si>
  <si>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</si>
  <si>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</si>
  <si>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</si>
  <si>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</si>
  <si>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</si>
  <si>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</si>
  <si>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</si>
  <si>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</si>
  <si>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</si>
  <si>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</si>
  <si>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</si>
  <si>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</si>
  <si>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</si>
  <si>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</si>
  <si>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</si>
  <si>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</si>
  <si>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</si>
  <si>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</si>
  <si>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</si>
  <si>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</si>
  <si>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</si>
  <si>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</si>
  <si>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</si>
  <si>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</si>
  <si>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</si>
  <si>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</si>
  <si>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</si>
  <si>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</si>
  <si>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</si>
  <si>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</si>
  <si>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</si>
  <si>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</si>
  <si>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</si>
  <si>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</si>
  <si>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</si>
  <si>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</si>
  <si>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</si>
  <si>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</si>
  <si>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</si>
  <si>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</si>
  <si>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</si>
  <si>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</si>
  <si>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</si>
  <si>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</si>
  <si>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</si>
  <si>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</si>
  <si>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</si>
  <si>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</si>
  <si>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</si>
  <si>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</si>
  <si>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</si>
  <si>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</si>
  <si>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</si>
  <si>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</si>
  <si>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</si>
  <si>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</si>
  <si>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</si>
  <si>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</si>
  <si>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</si>
  <si>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</si>
  <si>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</si>
  <si>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</si>
  <si>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</si>
  <si>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</si>
  <si>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</si>
  <si>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</si>
  <si>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</si>
  <si>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</si>
  <si>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</si>
  <si>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</si>
  <si>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</si>
  <si>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</si>
  <si>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</si>
  <si>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</si>
  <si>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</si>
  <si>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</si>
  <si>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</si>
  <si>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</si>
  <si>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</si>
  <si>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</si>
  <si>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</si>
  <si>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</si>
  <si>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</si>
  <si>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</si>
  <si>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</si>
  <si>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</si>
  <si>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</si>
  <si>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</si>
  <si>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</si>
  <si>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</si>
  <si>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</si>
  <si>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</si>
  <si>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</si>
  <si>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</si>
  <si>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</si>
  <si>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</si>
  <si>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</si>
  <si>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</si>
  <si>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</si>
  <si>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</si>
  <si>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</si>
  <si>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</si>
  <si>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</si>
  <si>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</si>
  <si>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</si>
  <si>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</si>
  <si>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</si>
  <si>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</si>
  <si>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</si>
  <si>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</si>
  <si>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</si>
  <si>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</si>
  <si>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</si>
  <si>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</si>
  <si>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</si>
  <si>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</si>
  <si>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</si>
  <si>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</si>
  <si>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</si>
  <si>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</si>
  <si>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</si>
  <si>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</si>
  <si>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</si>
  <si>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</si>
  <si>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</si>
  <si>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</si>
  <si>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</si>
  <si>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</si>
  <si>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</si>
  <si>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</si>
  <si>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</si>
  <si>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</si>
  <si>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</si>
  <si>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</si>
  <si>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</si>
  <si>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</si>
  <si>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</si>
  <si>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</si>
  <si>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</si>
  <si>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</si>
  <si>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</si>
  <si>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</si>
  <si>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</si>
  <si>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</si>
  <si>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</si>
  <si>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</si>
  <si>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</si>
  <si>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</si>
  <si>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</si>
  <si>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</si>
  <si>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</si>
  <si>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</si>
  <si>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</si>
  <si>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</si>
  <si>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</si>
  <si>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</si>
  <si>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</si>
  <si>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</si>
  <si>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</si>
  <si>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</si>
  <si>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</si>
  <si>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</si>
  <si>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</si>
  <si>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</si>
  <si>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</si>
  <si>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</si>
  <si>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</si>
  <si>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</si>
  <si>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</si>
  <si>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</si>
  <si>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</si>
  <si>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</si>
  <si>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</si>
  <si>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</si>
  <si>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</si>
  <si>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</si>
  <si>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</si>
  <si>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</si>
  <si>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</si>
  <si>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</si>
  <si>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</si>
  <si>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</si>
  <si>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</si>
  <si>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</si>
  <si>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</si>
  <si>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</si>
  <si>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</si>
  <si>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</si>
  <si>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</si>
  <si>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</si>
  <si>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</si>
  <si>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</si>
  <si>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</si>
  <si>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</si>
  <si>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</si>
  <si>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</si>
  <si>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</si>
  <si>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</si>
  <si>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</si>
  <si>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</si>
  <si>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</si>
  <si>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</si>
  <si>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</si>
  <si>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</si>
  <si>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</si>
  <si>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</si>
  <si>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</si>
  <si>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</si>
  <si>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</si>
  <si>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</si>
  <si>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</si>
  <si>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</si>
  <si>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</si>
  <si>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</si>
  <si>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</si>
  <si>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</si>
  <si>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</si>
  <si>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</si>
  <si>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</si>
  <si>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</si>
  <si>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</si>
  <si>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</si>
  <si>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</si>
  <si>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</si>
  <si>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</si>
  <si>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</si>
  <si>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</si>
  <si>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</si>
  <si>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</si>
  <si>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</si>
  <si>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</si>
  <si>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</si>
  <si>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</si>
  <si>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</si>
  <si>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</si>
  <si>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</si>
  <si>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</si>
  <si>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</si>
  <si>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</si>
  <si>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</si>
  <si>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</si>
  <si>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</si>
  <si>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</si>
  <si>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</si>
  <si>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</si>
  <si>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</si>
  <si>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</si>
  <si>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</si>
  <si>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</si>
  <si>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</si>
  <si>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</si>
  <si>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</si>
  <si>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</si>
  <si>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</si>
  <si>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</si>
  <si>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</si>
  <si>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</si>
  <si>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</si>
  <si>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</si>
  <si>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</si>
  <si>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</si>
  <si>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</si>
  <si>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</si>
  <si>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</si>
  <si>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</si>
  <si>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</si>
  <si>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</si>
  <si>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</si>
  <si>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</si>
  <si>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</si>
  <si>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</si>
  <si>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</si>
  <si>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</si>
  <si>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</si>
  <si>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</si>
  <si>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</si>
  <si>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</si>
  <si>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</si>
  <si>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</si>
  <si>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</si>
  <si>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</si>
  <si>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</si>
  <si>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</si>
  <si>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</si>
  <si>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</si>
  <si>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</si>
  <si>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</si>
  <si>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</si>
  <si>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</si>
  <si>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</si>
  <si>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</si>
  <si>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</si>
  <si>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</si>
  <si>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</si>
  <si>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</si>
  <si>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</si>
  <si>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</si>
  <si>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</si>
  <si>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</si>
  <si>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</si>
  <si>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</si>
  <si>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</si>
  <si>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</si>
  <si>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</si>
  <si>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</si>
  <si>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</si>
  <si>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</si>
  <si>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</si>
  <si>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</si>
  <si>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</si>
  <si>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</si>
  <si>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</si>
  <si>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</si>
  <si>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</si>
  <si>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</si>
  <si>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</si>
  <si>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</si>
  <si>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</si>
  <si>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</si>
  <si>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</si>
  <si>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</si>
  <si>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</si>
  <si>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</si>
  <si>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</si>
  <si>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</si>
  <si>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</si>
  <si>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</si>
  <si>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</si>
  <si>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</si>
  <si>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</si>
  <si>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</si>
  <si>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</si>
  <si>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</si>
  <si>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</si>
  <si>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</si>
  <si>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</si>
  <si>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</si>
  <si>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</si>
  <si>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</si>
  <si>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</si>
  <si>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</si>
  <si>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</si>
  <si>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</si>
  <si>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</si>
  <si>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</si>
  <si>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</si>
  <si>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</si>
  <si>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</si>
  <si>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</si>
  <si>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</si>
  <si>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</si>
  <si>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</si>
  <si>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</si>
  <si>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</si>
  <si>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</si>
  <si>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</si>
  <si>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</si>
  <si>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</si>
  <si>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</si>
  <si>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</si>
  <si>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</si>
  <si>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</si>
  <si>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</si>
  <si>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</si>
  <si>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</si>
  <si>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</si>
  <si>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</si>
  <si>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</si>
  <si>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</si>
  <si>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</si>
  <si>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</si>
  <si>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</si>
  <si>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</si>
  <si>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</si>
  <si>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</si>
  <si>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</si>
  <si>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</si>
  <si>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</si>
  <si>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</si>
  <si>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</si>
  <si>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</si>
  <si>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</si>
  <si>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</si>
  <si>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</si>
  <si>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</si>
  <si>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</si>
  <si>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</si>
  <si>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</si>
  <si>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</si>
  <si>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</si>
  <si>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</si>
  <si>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</si>
  <si>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</si>
  <si>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</si>
  <si>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</si>
  <si>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</si>
  <si>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</si>
  <si>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</si>
  <si>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</si>
  <si>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</si>
  <si>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</si>
  <si>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</si>
  <si>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</si>
  <si>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</si>
  <si>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</si>
  <si>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</si>
  <si>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</si>
  <si>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</si>
  <si>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</si>
  <si>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</si>
  <si>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</si>
  <si>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</si>
  <si>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</si>
  <si>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</si>
  <si>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</si>
  <si>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</si>
  <si>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</si>
  <si>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</si>
  <si>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</si>
  <si>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</si>
  <si>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</si>
  <si>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</si>
  <si>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</si>
  <si>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</si>
  <si>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</si>
  <si>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</si>
  <si>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</si>
  <si>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</si>
  <si>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</si>
  <si>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</si>
  <si>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</si>
  <si>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</si>
  <si>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</si>
  <si>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</si>
  <si>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</si>
  <si>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</si>
  <si>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</si>
  <si>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</si>
  <si>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</si>
  <si>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</si>
  <si>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</si>
  <si>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</si>
  <si>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</si>
  <si>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</si>
  <si>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</si>
  <si>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</si>
  <si>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</si>
  <si>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</si>
  <si>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</si>
  <si>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</si>
  <si>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</si>
  <si>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</si>
  <si>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</si>
  <si>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</si>
  <si>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</si>
  <si>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</si>
  <si>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</si>
  <si>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</si>
  <si>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</si>
  <si>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</si>
  <si>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</si>
  <si>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</si>
  <si>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</si>
  <si>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</si>
  <si>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</si>
  <si>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</si>
  <si>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</si>
  <si>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</si>
  <si>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</si>
  <si>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</si>
  <si>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</si>
  <si>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</si>
  <si>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</si>
  <si>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</si>
  <si>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</si>
  <si>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</si>
  <si>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</si>
  <si>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</si>
  <si>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</si>
  <si>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</si>
  <si>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</si>
  <si>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</si>
  <si>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</si>
  <si>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</si>
  <si>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</si>
  <si>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</si>
  <si>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</si>
  <si>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</si>
  <si>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</si>
  <si>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</si>
  <si>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</si>
  <si>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</si>
  <si>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</si>
  <si>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</si>
  <si>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</si>
  <si>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</si>
  <si>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</si>
  <si>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</si>
  <si>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</si>
  <si>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</si>
  <si>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</si>
  <si>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</si>
  <si>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</si>
  <si>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</si>
  <si>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</si>
  <si>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</si>
  <si>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</si>
  <si>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</si>
  <si>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</si>
  <si>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</si>
  <si>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</si>
  <si>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</si>
  <si>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</si>
  <si>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</si>
  <si>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</si>
  <si>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</si>
  <si>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</si>
  <si>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</si>
  <si>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</si>
  <si>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</si>
  <si>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</si>
  <si>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</si>
  <si>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</si>
  <si>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</si>
  <si>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</si>
  <si>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</si>
  <si>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</si>
  <si>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</si>
  <si>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</si>
  <si>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</si>
  <si>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</si>
  <si>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</si>
  <si>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</si>
  <si>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</si>
  <si>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</si>
  <si>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</si>
  <si>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</si>
  <si>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</si>
  <si>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</si>
  <si>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</si>
  <si>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</si>
  <si>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</si>
  <si>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</si>
  <si>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</si>
  <si>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</si>
  <si>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</si>
  <si>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</si>
  <si>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</si>
  <si>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</si>
  <si>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</si>
  <si>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</si>
  <si>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</si>
  <si>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</si>
  <si>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</si>
  <si>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</si>
  <si>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</si>
  <si>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</si>
  <si>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</si>
  <si>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</si>
  <si>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</si>
  <si>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</si>
  <si>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</si>
  <si>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</si>
  <si>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</si>
  <si>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</si>
  <si>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</si>
  <si>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</si>
  <si>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</si>
  <si>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</si>
  <si>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</si>
  <si>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</si>
  <si>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</si>
  <si>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</si>
  <si>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</si>
  <si>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</si>
  <si>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</si>
  <si>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</si>
  <si>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</si>
  <si>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</si>
  <si>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</si>
  <si>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</si>
  <si>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</si>
  <si>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</si>
  <si>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</si>
  <si>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</si>
  <si>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</si>
  <si>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</si>
  <si>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</si>
  <si>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</si>
  <si>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</si>
  <si>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</si>
  <si>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</si>
  <si>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</si>
  <si>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</si>
  <si>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</si>
  <si>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</si>
  <si>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</si>
  <si>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</si>
  <si>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</si>
  <si>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</si>
  <si>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</si>
  <si>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</si>
  <si>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</si>
  <si>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</si>
  <si>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</si>
  <si>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</si>
  <si>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</si>
  <si>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</si>
  <si>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</si>
  <si>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</si>
  <si>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</si>
  <si>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</si>
  <si>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</si>
  <si>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</si>
  <si>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</si>
  <si>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</si>
  <si>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</si>
  <si>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</si>
  <si>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</si>
  <si>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</si>
  <si>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</si>
  <si>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</si>
  <si>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</si>
  <si>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</si>
  <si>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</si>
  <si>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</si>
  <si>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</si>
  <si>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</si>
  <si>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</si>
  <si>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</si>
  <si>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</si>
  <si>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</si>
  <si>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</si>
  <si>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</si>
  <si>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</si>
  <si>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</si>
  <si>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</si>
  <si>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</si>
  <si>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</si>
  <si>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</si>
  <si>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</si>
  <si>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</si>
  <si>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</si>
  <si>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</si>
  <si>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</si>
  <si>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</si>
  <si>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</si>
  <si>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</si>
  <si>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</si>
  <si>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</si>
  <si>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</si>
  <si>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</si>
  <si>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</si>
  <si>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</si>
  <si>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</si>
  <si>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</si>
  <si>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</si>
  <si>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</si>
  <si>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</si>
  <si>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</si>
  <si>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</si>
  <si>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</si>
  <si>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</si>
  <si>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</si>
  <si>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</si>
  <si>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</si>
  <si>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</si>
  <si>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</si>
  <si>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</si>
  <si>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</si>
  <si>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</si>
  <si>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</si>
  <si>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</si>
  <si>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</si>
  <si>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</si>
  <si>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</si>
  <si>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</si>
  <si>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</si>
  <si>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</si>
  <si>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</si>
  <si>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</si>
  <si>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</si>
  <si>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</si>
  <si>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</si>
  <si>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</si>
  <si>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</si>
  <si>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</si>
  <si>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</si>
  <si>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</si>
  <si>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</si>
  <si>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</si>
  <si>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</si>
  <si>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</si>
  <si>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</si>
  <si>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</si>
  <si>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</si>
  <si>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</si>
  <si>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</si>
  <si>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</si>
  <si>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</si>
  <si>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</si>
  <si>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</si>
  <si>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</si>
  <si>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</si>
  <si>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</si>
  <si>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</si>
  <si>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</si>
  <si>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</si>
  <si>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</si>
  <si>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</si>
  <si>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</si>
  <si>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</si>
  <si>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</si>
  <si>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</si>
  <si>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</si>
  <si>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</si>
  <si>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</si>
  <si>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</si>
  <si>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</si>
  <si>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</si>
  <si>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</si>
  <si>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</si>
  <si>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</si>
  <si>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</si>
  <si>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</si>
  <si>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</si>
  <si>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</si>
  <si>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</si>
  <si>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</si>
  <si>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</si>
  <si>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</si>
  <si>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</si>
  <si>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</si>
  <si>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</si>
  <si>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</si>
  <si>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</si>
  <si>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</si>
  <si>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</si>
  <si>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</si>
  <si>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</si>
  <si>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</si>
  <si>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</si>
  <si>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</si>
  <si>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</si>
  <si>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</si>
  <si>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</si>
  <si>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</si>
  <si>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</si>
  <si>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</si>
  <si>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</si>
  <si>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</si>
  <si>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</si>
  <si>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</si>
  <si>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</si>
  <si>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</si>
  <si>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</si>
  <si>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</si>
  <si>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</si>
  <si>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</si>
  <si>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</si>
  <si>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</si>
  <si>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</si>
  <si>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</si>
  <si>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</si>
  <si>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</si>
  <si>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</si>
  <si>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</si>
  <si>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</si>
  <si>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</si>
  <si>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</si>
  <si>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</si>
  <si>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</si>
  <si>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</si>
  <si>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</si>
  <si>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</si>
  <si>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</si>
  <si>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</si>
  <si>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</si>
  <si>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</si>
  <si>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</si>
  <si>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</si>
  <si>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</si>
  <si>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</si>
  <si>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</si>
  <si>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</si>
  <si>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</si>
  <si>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</si>
  <si>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</si>
  <si>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</si>
  <si>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</si>
  <si>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</si>
  <si>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</si>
  <si>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</si>
  <si>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</si>
  <si>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</si>
  <si>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</si>
  <si>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</si>
  <si>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</si>
  <si>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</si>
  <si>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</si>
  <si>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</si>
  <si>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</si>
  <si>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</si>
  <si>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</si>
  <si>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</si>
  <si>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</si>
  <si>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</si>
  <si>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</si>
  <si>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</si>
  <si>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</si>
  <si>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</si>
  <si>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</si>
  <si>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</si>
  <si>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</si>
  <si>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</si>
  <si>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</si>
  <si>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</si>
  <si>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</si>
  <si>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</si>
  <si>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</si>
  <si>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</si>
  <si>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</si>
  <si>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</si>
  <si>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</si>
  <si>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</si>
  <si>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</si>
  <si>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</si>
  <si>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</si>
  <si>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</si>
  <si>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</si>
  <si>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</si>
  <si>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</si>
  <si>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</si>
  <si>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</si>
  <si>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</si>
  <si>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</si>
  <si>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</si>
  <si>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</si>
  <si>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</si>
  <si>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</si>
  <si>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</si>
  <si>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</si>
  <si>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</si>
  <si>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</si>
  <si>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</si>
  <si>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</si>
  <si>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</si>
  <si>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</si>
  <si>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</si>
  <si>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</si>
  <si>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</si>
  <si>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</si>
  <si>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</si>
  <si>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</si>
  <si>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</si>
  <si>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</si>
  <si>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</si>
  <si>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</si>
  <si>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</si>
  <si>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</si>
  <si>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</si>
  <si>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</si>
  <si>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</si>
  <si>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</si>
  <si>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</si>
  <si>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</si>
  <si>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</si>
  <si>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</si>
  <si>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</si>
  <si>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</si>
  <si>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</si>
  <si>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</si>
  <si>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</si>
  <si>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</si>
  <si>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</si>
  <si>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</si>
  <si>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</si>
  <si>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</si>
  <si>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</si>
  <si>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</si>
  <si>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</si>
  <si>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</si>
  <si>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</si>
  <si>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</si>
  <si>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</si>
  <si>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</si>
  <si>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</si>
  <si>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</si>
  <si>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</si>
  <si>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</si>
  <si>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</si>
  <si>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</si>
  <si>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</si>
  <si>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</si>
  <si>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</si>
  <si>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</si>
  <si>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</si>
  <si>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</si>
  <si>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</si>
  <si>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</si>
  <si>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</si>
  <si>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</si>
  <si>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</si>
  <si>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</si>
  <si>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</si>
  <si>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</si>
  <si>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</si>
  <si>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</si>
  <si>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</si>
  <si>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</si>
  <si>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</si>
  <si>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</si>
  <si>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</si>
  <si>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</si>
  <si>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</si>
  <si>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</si>
  <si>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</si>
  <si>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</si>
  <si>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</si>
  <si>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</si>
  <si>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</si>
  <si>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</si>
  <si>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</si>
  <si>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</si>
  <si>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</si>
  <si>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</si>
  <si>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</si>
  <si>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</si>
  <si>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</si>
  <si>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</si>
  <si>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</si>
  <si>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</si>
  <si>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</si>
  <si>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</si>
  <si>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</si>
  <si>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</si>
  <si>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</si>
  <si>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</si>
  <si>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</si>
  <si>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</si>
  <si>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</si>
  <si>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</si>
  <si>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</si>
  <si>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</si>
  <si>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</si>
  <si>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</si>
  <si>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</si>
  <si>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</si>
  <si>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</si>
  <si>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</si>
  <si>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</si>
  <si>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</si>
  <si>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</si>
  <si>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</si>
  <si>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</si>
  <si>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</si>
  <si>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</si>
  <si>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</si>
  <si>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</si>
  <si>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</si>
  <si>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</si>
  <si>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</si>
  <si>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</si>
  <si>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</si>
  <si>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</si>
  <si>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</si>
  <si>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</si>
  <si>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</si>
  <si>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</si>
  <si>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</si>
  <si>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</si>
  <si>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</si>
  <si>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</si>
  <si>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</si>
  <si>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</si>
  <si>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</si>
  <si>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</si>
  <si>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</si>
  <si>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</si>
  <si>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</si>
  <si>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</si>
  <si>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</si>
  <si>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</si>
  <si>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</si>
  <si>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</si>
  <si>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</si>
  <si>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</si>
  <si>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</si>
  <si>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</si>
  <si>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</si>
  <si>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</si>
  <si>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</si>
  <si>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</si>
  <si>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</si>
  <si>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</si>
  <si>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</si>
  <si>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</si>
  <si>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</si>
  <si>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</si>
  <si>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</si>
  <si>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</si>
  <si>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</si>
  <si>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</si>
  <si>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</si>
  <si>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</si>
  <si>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</si>
  <si>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</si>
  <si>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</si>
  <si>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</si>
  <si>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</si>
  <si>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</si>
  <si>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</si>
  <si>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</si>
  <si>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</si>
  <si>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</si>
  <si>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</si>
  <si>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</si>
  <si>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</si>
  <si>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</si>
  <si>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</si>
  <si>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</si>
  <si>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</si>
  <si>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</si>
  <si>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</si>
  <si>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</si>
  <si>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</si>
  <si>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</si>
  <si>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</si>
  <si>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</si>
  <si>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</si>
  <si>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</si>
  <si>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</si>
  <si>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</si>
  <si>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</si>
  <si>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</si>
  <si>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</si>
  <si>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</si>
  <si>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</si>
  <si>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</si>
  <si>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</si>
  <si>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</si>
  <si>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</si>
  <si>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</si>
  <si>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</si>
  <si>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</si>
  <si>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</si>
  <si>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</si>
  <si>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</si>
  <si>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</si>
  <si>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</si>
  <si>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</si>
  <si>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</si>
  <si>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</si>
  <si>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</si>
  <si>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</si>
  <si>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</si>
  <si>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</si>
  <si>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</si>
  <si>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</si>
  <si>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</si>
  <si>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</si>
  <si>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</si>
  <si>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</si>
  <si>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</si>
  <si>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</si>
  <si>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</si>
  <si>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</si>
  <si>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</si>
  <si>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</si>
  <si>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</si>
  <si>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</si>
  <si>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</si>
  <si>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</si>
  <si>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</si>
  <si>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</si>
  <si>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</si>
  <si>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</si>
  <si>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</si>
  <si>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</si>
  <si>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</si>
  <si>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</si>
  <si>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</si>
  <si>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</si>
  <si>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</si>
  <si>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</si>
  <si>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</si>
  <si>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</si>
  <si>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</si>
  <si>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</si>
  <si>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</si>
  <si>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</si>
  <si>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</si>
  <si>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</si>
  <si>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</si>
  <si>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</si>
  <si>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</si>
  <si>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</si>
  <si>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</si>
  <si>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</si>
  <si>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</si>
  <si>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</si>
  <si>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</si>
  <si>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</si>
  <si>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</si>
  <si>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</si>
  <si>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</si>
  <si>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</si>
  <si>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</si>
  <si>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</si>
  <si>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</si>
  <si>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</si>
  <si>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</si>
  <si>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</si>
  <si>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</si>
  <si>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</si>
  <si>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</si>
  <si>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</si>
  <si>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</si>
  <si>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</si>
  <si>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</si>
  <si>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</si>
  <si>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</si>
  <si>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</si>
  <si>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</si>
  <si>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</si>
  <si>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</si>
  <si>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</si>
  <si>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</si>
  <si>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</si>
  <si>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</si>
  <si>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</si>
  <si>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</si>
  <si>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</si>
  <si>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</si>
  <si>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</si>
  <si>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</si>
  <si>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</si>
  <si>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</si>
  <si>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</si>
  <si>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</si>
  <si>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</si>
  <si>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</si>
  <si>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</si>
  <si>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</si>
  <si>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</si>
  <si>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</si>
  <si>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</si>
  <si>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</si>
  <si>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</si>
  <si>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</si>
  <si>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</si>
  <si>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</si>
  <si>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</si>
  <si>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</si>
  <si>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</si>
  <si>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</si>
  <si>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</si>
  <si>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</si>
  <si>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</si>
  <si>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</si>
  <si>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</si>
  <si>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</si>
  <si>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</si>
  <si>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</si>
  <si>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</si>
  <si>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</si>
  <si>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</si>
  <si>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</si>
  <si>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</si>
  <si>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</si>
  <si>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</si>
  <si>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</si>
  <si>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</si>
  <si>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</si>
  <si>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</si>
  <si>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</si>
  <si>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</si>
  <si>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</si>
  <si>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</si>
  <si>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</si>
  <si>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</si>
  <si>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</si>
  <si>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</si>
  <si>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</si>
  <si>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</si>
  <si>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</si>
  <si>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</si>
  <si>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</si>
  <si>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</si>
  <si>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</si>
  <si>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</si>
  <si>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</si>
  <si>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</si>
  <si>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</si>
  <si>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</si>
  <si>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</si>
  <si>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</si>
  <si>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</si>
  <si>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</si>
  <si>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</si>
  <si>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</si>
  <si>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</si>
  <si>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</si>
  <si>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</si>
  <si>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</si>
  <si>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</si>
  <si>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</si>
  <si>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</si>
  <si>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</si>
  <si>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</si>
  <si>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</si>
  <si>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</si>
  <si>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</si>
  <si>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</si>
  <si>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</si>
  <si>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</si>
  <si>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</si>
  <si>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</si>
  <si>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</si>
  <si>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</si>
  <si>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</si>
  <si>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</si>
  <si>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</si>
  <si>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</si>
  <si>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</si>
  <si>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</si>
  <si>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</si>
  <si>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</si>
  <si>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</si>
  <si>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</si>
  <si>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</si>
  <si>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</si>
  <si>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</si>
  <si>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</si>
  <si>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</si>
  <si>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</si>
  <si>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</si>
  <si>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</si>
  <si>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</si>
  <si>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</si>
  <si>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</si>
  <si>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</si>
  <si>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</si>
  <si>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</si>
  <si>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</si>
  <si>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</si>
  <si>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</si>
  <si>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</si>
  <si>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</si>
  <si>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</si>
  <si>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</si>
  <si>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</si>
  <si>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</si>
  <si>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</si>
  <si>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</si>
  <si>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</si>
  <si>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</si>
  <si>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</si>
  <si>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 xml:space="preserve">Sub-Category 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</si>
  <si>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</si>
  <si>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</si>
  <si>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</si>
  <si>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</si>
  <si>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</si>
  <si>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</si>
  <si>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</si>
  <si>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</si>
  <si>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</si>
  <si>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</si>
  <si>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</si>
  <si>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</si>
  <si>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</si>
  <si>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</si>
  <si>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</si>
  <si>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</si>
  <si>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</si>
  <si>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</si>
  <si>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</si>
  <si>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</si>
  <si>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</si>
  <si>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</si>
  <si>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</si>
  <si>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</si>
  <si>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</si>
  <si>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</si>
  <si>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</si>
  <si>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</si>
  <si>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</si>
  <si>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</si>
  <si>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</si>
  <si>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</si>
  <si>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</si>
  <si>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</si>
  <si>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</si>
  <si>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</si>
  <si>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</si>
  <si>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</si>
  <si>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</si>
  <si>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</si>
  <si>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</si>
  <si>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</si>
  <si>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</si>
  <si>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</si>
  <si>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</si>
  <si>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</si>
  <si>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</si>
  <si>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</si>
  <si>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</si>
  <si>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</si>
  <si>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</si>
  <si>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</si>
  <si>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</si>
  <si>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</si>
  <si>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</si>
  <si>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</si>
  <si>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</si>
  <si>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</si>
  <si>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</si>
  <si>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</si>
  <si>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</si>
  <si>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</si>
  <si>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</si>
  <si>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</si>
  <si>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</si>
  <si>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</si>
  <si>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</si>
  <si>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</si>
  <si>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</si>
  <si>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</si>
  <si>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</si>
  <si>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</si>
  <si>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</si>
  <si>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</si>
  <si>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</si>
  <si>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</si>
  <si>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</si>
  <si>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</si>
  <si>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</si>
  <si>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</si>
  <si>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</si>
  <si>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</si>
  <si>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</si>
  <si>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</si>
  <si>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</si>
  <si>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</si>
  <si>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</si>
  <si>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</si>
  <si>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</si>
  <si>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</si>
  <si>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</si>
  <si>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&gt;=1000</t>
  </si>
  <si>
    <t>&lt;=4999</t>
  </si>
  <si>
    <t>&gt;=50000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</si>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</sst>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[1.1 Homework (Excel).xlsx]Pivot 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62-D549-804E-330D167D28DB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62-D549-804E-330D167D28DB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62-D549-804E-330D167D28DB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62-D549-804E-330D167D2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221232"/>
        <c:axId val="136885984"/>
      </c:barChart>
      <c:catAx>
        <c:axId val="19622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85984"/>
        <c:crosses val="autoZero"/>
        <c:auto val="1"/>
        <c:lblAlgn val="ctr"/>
        <c:lblOffset val="100"/>
        <c:noMultiLvlLbl val="0"/>
      </c:catAx>
      <c:valAx>
        <c:axId val="13688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2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[1.1 Homework (Excel).xlsx]Pivot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7-6B4C-8E1A-84CE713241C2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A7-6B4C-8E1A-84CE713241C2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AA7-6B4C-8E1A-84CE713241C2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AA7-6B4C-8E1A-84CE71324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8831312"/>
        <c:axId val="198105904"/>
      </c:barChart>
      <c:catAx>
        <c:axId val="22883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05904"/>
        <c:crosses val="autoZero"/>
        <c:auto val="1"/>
        <c:lblAlgn val="ctr"/>
        <c:lblOffset val="100"/>
        <c:noMultiLvlLbl val="0"/>
      </c:catAx>
      <c:valAx>
        <c:axId val="19810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83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[1.1 Homework (Excel).xlsx]Pivot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9-7C4A-9E58-80C85F93F7D9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79-7C4A-9E58-80C85F93F7D9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79-7C4A-9E58-80C85F93F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222128"/>
        <c:axId val="200224384"/>
      </c:lineChart>
      <c:catAx>
        <c:axId val="2002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24384"/>
        <c:crosses val="autoZero"/>
        <c:auto val="1"/>
        <c:lblAlgn val="ctr"/>
        <c:lblOffset val="100"/>
        <c:noMultiLvlLbl val="0"/>
      </c:catAx>
      <c:valAx>
        <c:axId val="20022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v2'!$F$1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v2'!$A$2:$A$13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v2'!$F$2:$F$13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F-5C42-9EBF-C3578B7D9707}"/>
            </c:ext>
          </c:extLst>
        </c:ser>
        <c:ser>
          <c:idx val="1"/>
          <c:order val="1"/>
          <c:tx>
            <c:strRef>
              <c:f>'Bonus v2'!$G$1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v2'!$A$2:$A$13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v2'!$G$2:$G$13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F-5C42-9EBF-C3578B7D9707}"/>
            </c:ext>
          </c:extLst>
        </c:ser>
        <c:ser>
          <c:idx val="2"/>
          <c:order val="2"/>
          <c:tx>
            <c:strRef>
              <c:f>'Bonus v2'!$H$1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v2'!$A$2:$A$13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v2'!$H$2:$H$13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2F-5C42-9EBF-C3578B7D9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50944"/>
        <c:axId val="250036080"/>
      </c:lineChart>
      <c:catAx>
        <c:axId val="25005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36080"/>
        <c:crosses val="autoZero"/>
        <c:auto val="1"/>
        <c:lblAlgn val="ctr"/>
        <c:lblOffset val="100"/>
        <c:noMultiLvlLbl val="0"/>
      </c:catAx>
      <c:valAx>
        <c:axId val="25003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5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v2'!$F$1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v2'!$A$2:$A$13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v2'!$F$2:$F$13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E6-0D49-B01A-F64FD1075EFD}"/>
            </c:ext>
          </c:extLst>
        </c:ser>
        <c:ser>
          <c:idx val="1"/>
          <c:order val="1"/>
          <c:tx>
            <c:strRef>
              <c:f>'Bonus v2'!$G$1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v2'!$A$2:$A$13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v2'!$G$2:$G$13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E6-0D49-B01A-F64FD1075EFD}"/>
            </c:ext>
          </c:extLst>
        </c:ser>
        <c:ser>
          <c:idx val="2"/>
          <c:order val="2"/>
          <c:tx>
            <c:strRef>
              <c:f>'Bonus v2'!$H$1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v2'!$A$2:$A$13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v2'!$H$2:$H$13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E6-0D49-B01A-F64FD1075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050944"/>
        <c:axId val="250036080"/>
      </c:lineChart>
      <c:catAx>
        <c:axId val="25005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36080"/>
        <c:crosses val="autoZero"/>
        <c:auto val="1"/>
        <c:lblAlgn val="ctr"/>
        <c:lblOffset val="100"/>
        <c:noMultiLvlLbl val="0"/>
      </c:catAx>
      <c:valAx>
        <c:axId val="25003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5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17</xdr:row>
      <xdr:rowOff>165100</xdr:rowOff>
    </xdr:from>
    <xdr:to>
      <xdr:col>11</xdr:col>
      <xdr:colOff>444500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42CAC-63D8-044C-B42D-E7C5FD023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9</xdr:row>
      <xdr:rowOff>50800</xdr:rowOff>
    </xdr:from>
    <xdr:to>
      <xdr:col>19</xdr:col>
      <xdr:colOff>228600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DA04C-3EF4-9641-9F1E-80C9678F0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4</xdr:row>
      <xdr:rowOff>12700</xdr:rowOff>
    </xdr:from>
    <xdr:to>
      <xdr:col>15</xdr:col>
      <xdr:colOff>330200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7F689C-366E-3E42-896D-2901C9843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17</xdr:row>
      <xdr:rowOff>127000</xdr:rowOff>
    </xdr:from>
    <xdr:to>
      <xdr:col>12</xdr:col>
      <xdr:colOff>381000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F838C-57AF-864C-827F-8E3AA6386E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17</xdr:row>
      <xdr:rowOff>127000</xdr:rowOff>
    </xdr:from>
    <xdr:to>
      <xdr:col>7</xdr:col>
      <xdr:colOff>381000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6759A-DDD5-7842-AAEA-2E7B1A8B7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64.902881365742" createdVersion="6" refreshedVersion="6" minRefreshableVersion="3" recordCount="4115" xr:uid="{38B6C2E9-A900-5743-9FD7-E337D7FC30F3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65.842337731483" createdVersion="6" refreshedVersion="6" minRefreshableVersion="3" recordCount="4114" xr:uid="{7533A8C6-5B5A-D148-9732-DB5A6942AAF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 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B52BD-301D-8C4B-8E3A-A3743F552230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B569D-210C-6045-A4CE-7951687C3D5C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C5785C-ED63-C846-8776-D479D7582439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H3" sqref="H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customWidth="1"/>
    <col min="16" max="16" width="15" customWidth="1"/>
    <col min="17" max="17" width="21.83203125" customWidth="1"/>
    <col min="18" max="18" width="15.33203125" customWidth="1"/>
    <col min="19" max="19" width="20.5" style="11" customWidth="1"/>
    <col min="20" max="20" width="18.33203125" style="1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5">
        <f t="shared" ref="P2:P65" si="1">E2/L2</f>
        <v>63.917582417582416</v>
      </c>
      <c r="Q2" t="str">
        <f t="shared" ref="Q2:Q65" si="2">LEFT(N2,FIND("/",N2)-1)</f>
        <v>film &amp; video</v>
      </c>
      <c r="R2" t="str">
        <f t="shared" ref="R2:R65" si="3">RIGHT(N2,LEN(N2)-FIND("/",N2))</f>
        <v>television</v>
      </c>
      <c r="S2" s="11">
        <f t="shared" ref="S2:S65" si="4">(((J2/60)/60)/24)+DATE(1970,1,1)</f>
        <v>42177.007071759261</v>
      </c>
      <c r="T2" s="11">
        <f t="shared" ref="T2:T65" si="5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5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42766.600497685184</v>
      </c>
      <c r="T3" s="11">
        <f t="shared" si="5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(E66/D66)*100</f>
        <v>173.33333333333334</v>
      </c>
      <c r="P66" s="5">
        <f t="shared" ref="P66:P129" si="7">E66/L66</f>
        <v>86.666666666666671</v>
      </c>
      <c r="Q66" t="str">
        <f t="shared" ref="Q66:Q129" si="8">LEFT(N66,FIND("/",N66)-1)</f>
        <v>film &amp; video</v>
      </c>
      <c r="R66" t="str">
        <f t="shared" ref="R66:R129" si="9">RIGHT(N66,LEN(N66)-FIND("/",N66))</f>
        <v>shorts</v>
      </c>
      <c r="S66" s="11">
        <f t="shared" ref="S66:S129" si="10">(((J66/60)/60)/24)+DATE(1970,1,1)</f>
        <v>41433.01829861111</v>
      </c>
      <c r="T66" s="11">
        <f t="shared" ref="T66:T129" si="11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 s="5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41835.821226851855</v>
      </c>
      <c r="T67" s="11">
        <f t="shared" si="11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(E130/D130)*100</f>
        <v>1.867</v>
      </c>
      <c r="P130" s="5">
        <f t="shared" ref="P130:P193" si="13">E130/L130</f>
        <v>311.16666666666669</v>
      </c>
      <c r="Q130" t="str">
        <f t="shared" ref="Q130:Q193" si="14">LEFT(N130,FIND("/",N130)-1)</f>
        <v>film &amp; video</v>
      </c>
      <c r="R130" t="str">
        <f t="shared" ref="R130:R193" si="15">RIGHT(N130,LEN(N130)-FIND("/",N130))</f>
        <v>science fiction</v>
      </c>
      <c r="S130" s="11">
        <f t="shared" ref="S130:S193" si="16">(((J130/60)/60)/24)+DATE(1970,1,1)</f>
        <v>42628.22792824074</v>
      </c>
      <c r="T130" s="11">
        <f t="shared" ref="T130:T193" si="17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5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41882.937303240738</v>
      </c>
      <c r="T131" s="11">
        <f t="shared" si="1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(E194/D194)*100</f>
        <v>1.6999999999999999E-3</v>
      </c>
      <c r="P194" s="5">
        <f t="shared" ref="P194:P257" si="19">E194/L194</f>
        <v>5.666666666666667</v>
      </c>
      <c r="Q194" t="str">
        <f t="shared" ref="Q194:Q257" si="20">LEFT(N194,FIND("/",N194)-1)</f>
        <v>film &amp; video</v>
      </c>
      <c r="R194" t="str">
        <f t="shared" ref="R194:R257" si="21">RIGHT(N194,LEN(N194)-FIND("/",N194))</f>
        <v>drama</v>
      </c>
      <c r="S194" s="11">
        <f t="shared" ref="S194:S257" si="22">(((J194/60)/60)/24)+DATE(1970,1,1)</f>
        <v>41899.792037037041</v>
      </c>
      <c r="T194" s="11">
        <f t="shared" ref="T194:T257" si="23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5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41911.934791666667</v>
      </c>
      <c r="T195" s="11">
        <f t="shared" si="23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(E258/D258)*100</f>
        <v>139.1</v>
      </c>
      <c r="P258" s="5">
        <f t="shared" ref="P258:P321" si="25">E258/L258</f>
        <v>65.756363636363631</v>
      </c>
      <c r="Q258" t="str">
        <f t="shared" ref="Q258:Q321" si="26">LEFT(N258,FIND("/",N258)-1)</f>
        <v>film &amp; video</v>
      </c>
      <c r="R258" t="str">
        <f t="shared" ref="R258:R321" si="27">RIGHT(N258,LEN(N258)-FIND("/",N258))</f>
        <v>documentary</v>
      </c>
      <c r="S258" s="11">
        <f t="shared" ref="S258:S321" si="28">(((J258/60)/60)/24)+DATE(1970,1,1)</f>
        <v>41319.769293981481</v>
      </c>
      <c r="T258" s="11">
        <f t="shared" ref="T258:T321" si="29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106.72648571428572</v>
      </c>
      <c r="P259" s="5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42479.626875000002</v>
      </c>
      <c r="T259" s="11">
        <f t="shared" si="2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(E322/D322)*100</f>
        <v>106.58000000000001</v>
      </c>
      <c r="P322" s="5">
        <f t="shared" ref="P322:P385" si="31">E322/L322</f>
        <v>134.91139240506328</v>
      </c>
      <c r="Q322" t="str">
        <f t="shared" ref="Q322:Q385" si="32">LEFT(N322,FIND("/",N322)-1)</f>
        <v>film &amp; video</v>
      </c>
      <c r="R322" t="str">
        <f t="shared" ref="R322:R385" si="33">RIGHT(N322,LEN(N322)-FIND("/",N322))</f>
        <v>documentary</v>
      </c>
      <c r="S322" s="11">
        <f t="shared" ref="S322:S385" si="34">(((J322/60)/60)/24)+DATE(1970,1,1)</f>
        <v>42331.551307870366</v>
      </c>
      <c r="T322" s="11">
        <f t="shared" ref="T322:T385" si="35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102.66285714285715</v>
      </c>
      <c r="P323" s="5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42647.446597222224</v>
      </c>
      <c r="T323" s="11">
        <f t="shared" si="35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(E386/D386)*100</f>
        <v>112.105</v>
      </c>
      <c r="P386" s="5">
        <f t="shared" ref="P386:P449" si="37">E386/L386</f>
        <v>58.540469973890339</v>
      </c>
      <c r="Q386" t="str">
        <f t="shared" ref="Q386:Q449" si="38">LEFT(N386,FIND("/",N386)-1)</f>
        <v>film &amp; video</v>
      </c>
      <c r="R386" t="str">
        <f t="shared" ref="R386:R449" si="39">RIGHT(N386,LEN(N386)-FIND("/",N386))</f>
        <v>documentary</v>
      </c>
      <c r="S386" s="11">
        <f t="shared" ref="S386:S449" si="40">(((J386/60)/60)/24)+DATE(1970,1,1)</f>
        <v>41980.781793981485</v>
      </c>
      <c r="T386" s="11">
        <f t="shared" ref="T386:T449" si="41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105.982</v>
      </c>
      <c r="P387" s="5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41934.584502314814</v>
      </c>
      <c r="T387" s="11">
        <f t="shared" si="41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(E450/D450)*100</f>
        <v>3.2804000000000002</v>
      </c>
      <c r="P450" s="5">
        <f t="shared" ref="P450:P513" si="43">E450/L450</f>
        <v>20.502500000000001</v>
      </c>
      <c r="Q450" t="str">
        <f t="shared" ref="Q450:Q513" si="44">LEFT(N450,FIND("/",N450)-1)</f>
        <v>film &amp; video</v>
      </c>
      <c r="R450" t="str">
        <f t="shared" ref="R450:R513" si="45">RIGHT(N450,LEN(N450)-FIND("/",N450))</f>
        <v>animation</v>
      </c>
      <c r="S450" s="11">
        <f t="shared" ref="S450:S513" si="46">(((J450/60)/60)/24)+DATE(1970,1,1)</f>
        <v>41753.758043981477</v>
      </c>
      <c r="T450" s="11">
        <f t="shared" ref="T450:T513" si="47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2.25</v>
      </c>
      <c r="P451" s="5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41534.568113425928</v>
      </c>
      <c r="T451" s="11">
        <f t="shared" si="4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(E514/D514)*100</f>
        <v>0.13749999999999998</v>
      </c>
      <c r="P514" s="5">
        <f t="shared" ref="P514:P577" si="49">E514/L514</f>
        <v>5.5</v>
      </c>
      <c r="Q514" t="str">
        <f t="shared" ref="Q514:Q577" si="50">LEFT(N514,FIND("/",N514)-1)</f>
        <v>film &amp; video</v>
      </c>
      <c r="R514" t="str">
        <f t="shared" ref="R514:R577" si="51">RIGHT(N514,LEN(N514)-FIND("/",N514))</f>
        <v>animation</v>
      </c>
      <c r="S514" s="11">
        <f t="shared" ref="S514:S577" si="52">(((J514/60)/60)/24)+DATE(1970,1,1)</f>
        <v>42649.742210648154</v>
      </c>
      <c r="T514" s="11">
        <f t="shared" ref="T514:T577" si="53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13.923999999999999</v>
      </c>
      <c r="P515" s="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42552.653993055559</v>
      </c>
      <c r="T515" s="11">
        <f t="shared" si="53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(E578/D578)*100</f>
        <v>1.25E-3</v>
      </c>
      <c r="P578" s="5">
        <f t="shared" ref="P578:P641" si="55">E578/L578</f>
        <v>1</v>
      </c>
      <c r="Q578" t="str">
        <f t="shared" ref="Q578:Q641" si="56">LEFT(N578,FIND("/",N578)-1)</f>
        <v>technology</v>
      </c>
      <c r="R578" t="str">
        <f t="shared" ref="R578:R641" si="57">RIGHT(N578,LEN(N578)-FIND("/",N578))</f>
        <v>web</v>
      </c>
      <c r="S578" s="11">
        <f t="shared" ref="S578:S641" si="58">(((J578/60)/60)/24)+DATE(1970,1,1)</f>
        <v>42031.471666666665</v>
      </c>
      <c r="T578" s="11">
        <f t="shared" ref="T578:T641" si="59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0.2</v>
      </c>
      <c r="P579" s="5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42450.589143518519</v>
      </c>
      <c r="T579" s="11">
        <f t="shared" si="5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(E642/D642)*100</f>
        <v>144.28571428571428</v>
      </c>
      <c r="P642" s="5">
        <f t="shared" ref="P642:P705" si="61">E642/L642</f>
        <v>50.5</v>
      </c>
      <c r="Q642" t="str">
        <f t="shared" ref="Q642:Q705" si="62">LEFT(N642,FIND("/",N642)-1)</f>
        <v>technology</v>
      </c>
      <c r="R642" t="str">
        <f t="shared" ref="R642:R705" si="63">RIGHT(N642,LEN(N642)-FIND("/",N642))</f>
        <v>wearables</v>
      </c>
      <c r="S642" s="11">
        <f t="shared" ref="S642:S705" si="64">(((J642/60)/60)/24)+DATE(1970,1,1)</f>
        <v>42683.420312500006</v>
      </c>
      <c r="T642" s="11">
        <f t="shared" ref="T642:T705" si="65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119.16249999999999</v>
      </c>
      <c r="P643" s="5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42199.57</v>
      </c>
      <c r="T643" s="11">
        <f t="shared" si="65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(E706/D706)*100</f>
        <v>0.87454545454545463</v>
      </c>
      <c r="P706" s="5">
        <f t="shared" ref="P706:P769" si="67">E706/L706</f>
        <v>120.25</v>
      </c>
      <c r="Q706" t="str">
        <f t="shared" ref="Q706:Q769" si="68">LEFT(N706,FIND("/",N706)-1)</f>
        <v>technology</v>
      </c>
      <c r="R706" t="str">
        <f t="shared" ref="R706:R769" si="69">RIGHT(N706,LEN(N706)-FIND("/",N706))</f>
        <v>wearables</v>
      </c>
      <c r="S706" s="11">
        <f t="shared" ref="S706:S769" si="70">(((J706/60)/60)/24)+DATE(1970,1,1)</f>
        <v>42726.192916666667</v>
      </c>
      <c r="T706" s="11">
        <f t="shared" ref="T706:T769" si="71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0.97699999999999987</v>
      </c>
      <c r="P707" s="5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42726.491643518515</v>
      </c>
      <c r="T707" s="11">
        <f t="shared" si="71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(E770/D770)*100</f>
        <v>0</v>
      </c>
      <c r="P770" s="5" t="e">
        <f t="shared" ref="P770:P833" si="73">E770/L770</f>
        <v>#DIV/0!</v>
      </c>
      <c r="Q770" t="str">
        <f t="shared" ref="Q770:Q833" si="74">LEFT(N770,FIND("/",N770)-1)</f>
        <v>publishing</v>
      </c>
      <c r="R770" t="str">
        <f t="shared" ref="R770:R833" si="75">RIGHT(N770,LEN(N770)-FIND("/",N770))</f>
        <v>fiction</v>
      </c>
      <c r="S770" s="11">
        <f t="shared" ref="S770:S833" si="76">(((J770/60)/60)/24)+DATE(1970,1,1)</f>
        <v>41594.207060185188</v>
      </c>
      <c r="T770" s="11">
        <f t="shared" ref="T770:T833" si="77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41.4</v>
      </c>
      <c r="P771" s="5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41604.996458333335</v>
      </c>
      <c r="T771" s="11">
        <f t="shared" si="7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(E834/D834)*100</f>
        <v>100.60706666666665</v>
      </c>
      <c r="P834" s="5">
        <f t="shared" ref="P834:P897" si="79">E834/L834</f>
        <v>97.993896103896105</v>
      </c>
      <c r="Q834" t="str">
        <f t="shared" ref="Q834:Q897" si="80">LEFT(N834,FIND("/",N834)-1)</f>
        <v>music</v>
      </c>
      <c r="R834" t="str">
        <f t="shared" ref="R834:R897" si="81">RIGHT(N834,LEN(N834)-FIND("/",N834))</f>
        <v>rock</v>
      </c>
      <c r="S834" s="11">
        <f t="shared" ref="S834:S897" si="82">(((J834/60)/60)/24)+DATE(1970,1,1)</f>
        <v>40869.675173611111</v>
      </c>
      <c r="T834" s="11">
        <f t="shared" ref="T834:T897" si="83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101.66666666666666</v>
      </c>
      <c r="P835" s="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41718.878182870372</v>
      </c>
      <c r="T835" s="11">
        <f t="shared" si="83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(E898/D898)*100</f>
        <v>40</v>
      </c>
      <c r="P898" s="5">
        <f t="shared" ref="P898:P961" si="85">E898/L898</f>
        <v>44.444444444444443</v>
      </c>
      <c r="Q898" t="str">
        <f t="shared" ref="Q898:Q961" si="86">LEFT(N898,FIND("/",N898)-1)</f>
        <v>music</v>
      </c>
      <c r="R898" t="str">
        <f t="shared" ref="R898:R961" si="87">RIGHT(N898,LEN(N898)-FIND("/",N898))</f>
        <v>indie rock</v>
      </c>
      <c r="S898" s="11">
        <f t="shared" ref="S898:S961" si="88">(((J898/60)/60)/24)+DATE(1970,1,1)</f>
        <v>42218.872986111113</v>
      </c>
      <c r="T898" s="11">
        <f t="shared" ref="T898:T961" si="89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5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si="88"/>
        <v>41211.688750000001</v>
      </c>
      <c r="T899" s="11">
        <f t="shared" si="8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(E962/D962)*100</f>
        <v>46.100628930817614</v>
      </c>
      <c r="P962" s="5">
        <f t="shared" ref="P962:P1025" si="91">E962/L962</f>
        <v>136.46276595744681</v>
      </c>
      <c r="Q962" t="str">
        <f t="shared" ref="Q962:Q1025" si="92">LEFT(N962,FIND("/",N962)-1)</f>
        <v>technology</v>
      </c>
      <c r="R962" t="str">
        <f t="shared" ref="R962:R1025" si="93">RIGHT(N962,LEN(N962)-FIND("/",N962))</f>
        <v>wearables</v>
      </c>
      <c r="S962" s="11">
        <f t="shared" ref="S962:S1025" si="94">(((J962/60)/60)/24)+DATE(1970,1,1)</f>
        <v>42766.626793981486</v>
      </c>
      <c r="T962" s="11">
        <f t="shared" ref="T962:T1025" si="95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42.188421052631583</v>
      </c>
      <c r="P963" s="5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42740.693692129629</v>
      </c>
      <c r="T963" s="11">
        <f t="shared" si="95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(E1026/D1026)*100</f>
        <v>118.63774999999998</v>
      </c>
      <c r="P1026" s="5">
        <f t="shared" ref="P1026:P1089" si="97">E1026/L1026</f>
        <v>388.9762295081967</v>
      </c>
      <c r="Q1026" t="str">
        <f t="shared" ref="Q1026:Q1089" si="98">LEFT(N1026,FIND("/",N1026)-1)</f>
        <v>music</v>
      </c>
      <c r="R1026" t="str">
        <f t="shared" ref="R1026:R1089" si="99">RIGHT(N1026,LEN(N1026)-FIND("/",N1026))</f>
        <v>electronic music</v>
      </c>
      <c r="S1026" s="11">
        <f t="shared" ref="S1026:S1089" si="100">(((J1026/60)/60)/24)+DATE(1970,1,1)</f>
        <v>42370.580590277779</v>
      </c>
      <c r="T1026" s="11">
        <f t="shared" ref="T1026:T1089" si="101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 s="5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42049.833761574075</v>
      </c>
      <c r="T1027" s="11">
        <f t="shared" si="101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(E1090/D1090)*100</f>
        <v>14.182977777777777</v>
      </c>
      <c r="P1090" s="5">
        <f t="shared" ref="P1090:P1153" si="103">E1090/L1090</f>
        <v>43.41727891156463</v>
      </c>
      <c r="Q1090" t="str">
        <f t="shared" ref="Q1090:Q1153" si="104">LEFT(N1090,FIND("/",N1090)-1)</f>
        <v>games</v>
      </c>
      <c r="R1090" t="str">
        <f t="shared" ref="R1090:R1153" si="105">RIGHT(N1090,LEN(N1090)-FIND("/",N1090))</f>
        <v>video games</v>
      </c>
      <c r="S1090" s="11">
        <f t="shared" ref="S1090:S1153" si="106">(((J1090/60)/60)/24)+DATE(1970,1,1)</f>
        <v>41723.799386574072</v>
      </c>
      <c r="T1090" s="11">
        <f t="shared" ref="T1090:T1153" si="107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7.8266666666666662</v>
      </c>
      <c r="P1091" s="5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42151.189525462964</v>
      </c>
      <c r="T1091" s="11">
        <f t="shared" si="10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(E1154/D1154)*100</f>
        <v>5.6937500000000005</v>
      </c>
      <c r="P1154" s="5">
        <f t="shared" ref="P1154:P1217" si="109">E1154/L1154</f>
        <v>60.733333333333334</v>
      </c>
      <c r="Q1154" t="str">
        <f t="shared" ref="Q1154:Q1217" si="110">LEFT(N1154,FIND("/",N1154)-1)</f>
        <v>food</v>
      </c>
      <c r="R1154" t="str">
        <f t="shared" ref="R1154:R1217" si="111">RIGHT(N1154,LEN(N1154)-FIND("/",N1154))</f>
        <v>food trucks</v>
      </c>
      <c r="S1154" s="11">
        <f t="shared" ref="S1154:S1217" si="112">(((J1154/60)/60)/24)+DATE(1970,1,1)</f>
        <v>42109.709629629629</v>
      </c>
      <c r="T1154" s="11">
        <f t="shared" ref="T1154:T1217" si="113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0.625</v>
      </c>
      <c r="P1155" s="5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42143.714178240742</v>
      </c>
      <c r="T1155" s="11">
        <f t="shared" si="113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(E1218/D1218)*100</f>
        <v>145.70000000000002</v>
      </c>
      <c r="P1218" s="5">
        <f t="shared" ref="P1218:P1281" si="115">E1218/L1218</f>
        <v>91.882882882882882</v>
      </c>
      <c r="Q1218" t="str">
        <f t="shared" ref="Q1218:Q1281" si="116">LEFT(N1218,FIND("/",N1218)-1)</f>
        <v>photography</v>
      </c>
      <c r="R1218" t="str">
        <f t="shared" ref="R1218:R1281" si="117">RIGHT(N1218,LEN(N1218)-FIND("/",N1218))</f>
        <v>photobooks</v>
      </c>
      <c r="S1218" s="11">
        <f t="shared" ref="S1218:S1281" si="118">(((J1218/60)/60)/24)+DATE(1970,1,1)</f>
        <v>42247.616400462968</v>
      </c>
      <c r="T1218" s="11">
        <f t="shared" ref="T1218:T1281" si="119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102.60000000000001</v>
      </c>
      <c r="P1219" s="5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42535.809490740736</v>
      </c>
      <c r="T1219" s="11">
        <f t="shared" si="11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(E1282/D1282)*100</f>
        <v>110.91186666666665</v>
      </c>
      <c r="P1282" s="5">
        <f t="shared" ref="P1282:P1345" si="121">E1282/L1282</f>
        <v>127.97523076923076</v>
      </c>
      <c r="Q1282" t="str">
        <f t="shared" ref="Q1282:Q1345" si="122">LEFT(N1282,FIND("/",N1282)-1)</f>
        <v>music</v>
      </c>
      <c r="R1282" t="str">
        <f t="shared" ref="R1282:R1345" si="123">RIGHT(N1282,LEN(N1282)-FIND("/",N1282))</f>
        <v>rock</v>
      </c>
      <c r="S1282" s="11">
        <f t="shared" ref="S1282:S1345" si="124">(((J1282/60)/60)/24)+DATE(1970,1,1)</f>
        <v>40513.757569444446</v>
      </c>
      <c r="T1282" s="11">
        <f t="shared" ref="T1282:T1345" si="125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110.71428571428572</v>
      </c>
      <c r="P1283" s="5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41463.743472222224</v>
      </c>
      <c r="T1283" s="11">
        <f t="shared" si="125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(E1346/D1346)*100</f>
        <v>377.73333333333335</v>
      </c>
      <c r="P1346" s="5">
        <f t="shared" ref="P1346:P1409" si="127">E1346/L1346</f>
        <v>40.762589928057551</v>
      </c>
      <c r="Q1346" t="str">
        <f t="shared" ref="Q1346:Q1409" si="128">LEFT(N1346,FIND("/",N1346)-1)</f>
        <v>publishing</v>
      </c>
      <c r="R1346" t="str">
        <f t="shared" ref="R1346:R1409" si="129">RIGHT(N1346,LEN(N1346)-FIND("/",N1346))</f>
        <v>nonfiction</v>
      </c>
      <c r="S1346" s="11">
        <f t="shared" ref="S1346:S1409" si="130">(((J1346/60)/60)/24)+DATE(1970,1,1)</f>
        <v>42522.789803240739</v>
      </c>
      <c r="T1346" s="11">
        <f t="shared" ref="T1346:T1409" si="131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 s="5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41799.814340277779</v>
      </c>
      <c r="T1347" s="11">
        <f t="shared" si="131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(E1410/D1410)*100</f>
        <v>7.1999999999999993</v>
      </c>
      <c r="P1410" s="5">
        <f t="shared" ref="P1410:P1473" si="133">E1410/L1410</f>
        <v>12</v>
      </c>
      <c r="Q1410" t="str">
        <f t="shared" ref="Q1410:Q1473" si="134">LEFT(N1410,FIND("/",N1410)-1)</f>
        <v>publishing</v>
      </c>
      <c r="R1410" t="str">
        <f t="shared" ref="R1410:R1473" si="135">RIGHT(N1410,LEN(N1410)-FIND("/",N1410))</f>
        <v>translations</v>
      </c>
      <c r="S1410" s="11">
        <f t="shared" ref="S1410:S1473" si="136">(((J1410/60)/60)/24)+DATE(1970,1,1)</f>
        <v>42291.872175925921</v>
      </c>
      <c r="T1410" s="11">
        <f t="shared" ref="T1410:T1473" si="137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5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41945.133506944447</v>
      </c>
      <c r="T1411" s="11">
        <f t="shared" si="13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(E1474/D1474)*100</f>
        <v>138.70400000000001</v>
      </c>
      <c r="P1474" s="5">
        <f t="shared" ref="P1474:P1537" si="139">E1474/L1474</f>
        <v>103.20238095238095</v>
      </c>
      <c r="Q1474" t="str">
        <f t="shared" ref="Q1474:Q1537" si="140">LEFT(N1474,FIND("/",N1474)-1)</f>
        <v>publishing</v>
      </c>
      <c r="R1474" t="str">
        <f t="shared" ref="R1474:R1537" si="141">RIGHT(N1474,LEN(N1474)-FIND("/",N1474))</f>
        <v>radio &amp; podcasts</v>
      </c>
      <c r="S1474" s="11">
        <f t="shared" ref="S1474:S1537" si="142">(((J1474/60)/60)/24)+DATE(1970,1,1)</f>
        <v>41533.542858796296</v>
      </c>
      <c r="T1474" s="11">
        <f t="shared" ref="T1474:T1537" si="143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120.51600000000001</v>
      </c>
      <c r="P1475" s="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40939.979618055557</v>
      </c>
      <c r="T1475" s="11">
        <f t="shared" si="143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(E1538/D1538)*100</f>
        <v>250.30841666666666</v>
      </c>
      <c r="P1538" s="5">
        <f t="shared" ref="P1538:P1601" si="145">E1538/L1538</f>
        <v>66.015406593406595</v>
      </c>
      <c r="Q1538" t="str">
        <f t="shared" ref="Q1538:Q1601" si="146">LEFT(N1538,FIND("/",N1538)-1)</f>
        <v>photography</v>
      </c>
      <c r="R1538" t="str">
        <f t="shared" ref="R1538:R1601" si="147">RIGHT(N1538,LEN(N1538)-FIND("/",N1538))</f>
        <v>photobooks</v>
      </c>
      <c r="S1538" s="11">
        <f t="shared" ref="S1538:S1601" si="148">(((J1538/60)/60)/24)+DATE(1970,1,1)</f>
        <v>42213.802199074074</v>
      </c>
      <c r="T1538" s="11">
        <f t="shared" ref="T1538:T1601" si="149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179.9</v>
      </c>
      <c r="P1539" s="5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42552.315127314811</v>
      </c>
      <c r="T1539" s="11">
        <f t="shared" si="14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(E1602/D1602)*100</f>
        <v>7.3400000000000007</v>
      </c>
      <c r="P1602" s="5">
        <f t="shared" ref="P1602:P1665" si="151">E1602/L1602</f>
        <v>40.777777777777779</v>
      </c>
      <c r="Q1602" t="str">
        <f t="shared" ref="Q1602:Q1665" si="152">LEFT(N1602,FIND("/",N1602)-1)</f>
        <v>photography</v>
      </c>
      <c r="R1602" t="str">
        <f t="shared" ref="R1602:R1665" si="153">RIGHT(N1602,LEN(N1602)-FIND("/",N1602))</f>
        <v>places</v>
      </c>
      <c r="S1602" s="11">
        <f t="shared" ref="S1602:S1665" si="154">(((J1602/60)/60)/24)+DATE(1970,1,1)</f>
        <v>41791.057314814818</v>
      </c>
      <c r="T1602" s="11">
        <f t="shared" ref="T1602:T1665" si="155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108.2492</v>
      </c>
      <c r="P1603" s="5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40638.092974537038</v>
      </c>
      <c r="T1603" s="11">
        <f t="shared" si="155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(E1666/D1666)*100</f>
        <v>122.40879999999999</v>
      </c>
      <c r="P1666" s="5">
        <f t="shared" ref="P1666:P1729" si="157">E1666/L1666</f>
        <v>34.384494382022467</v>
      </c>
      <c r="Q1666" t="str">
        <f t="shared" ref="Q1666:Q1729" si="158">LEFT(N1666,FIND("/",N1666)-1)</f>
        <v>music</v>
      </c>
      <c r="R1666" t="str">
        <f t="shared" ref="R1666:R1729" si="159">RIGHT(N1666,LEN(N1666)-FIND("/",N1666))</f>
        <v>pop</v>
      </c>
      <c r="S1666" s="11">
        <f t="shared" ref="S1666:S1729" si="160">(((J1666/60)/60)/24)+DATE(1970,1,1)</f>
        <v>40939.761782407404</v>
      </c>
      <c r="T1666" s="11">
        <f t="shared" ref="T1666:T1729" si="161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119.45714285714286</v>
      </c>
      <c r="P1667" s="5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40564.649456018517</v>
      </c>
      <c r="T1667" s="11">
        <f t="shared" si="161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(E1730/D1730)*100</f>
        <v>68.400000000000006</v>
      </c>
      <c r="P1730" s="5">
        <f t="shared" ref="P1730:P1793" si="163">E1730/L1730</f>
        <v>122.14285714285714</v>
      </c>
      <c r="Q1730" t="str">
        <f t="shared" ref="Q1730:Q1793" si="164">LEFT(N1730,FIND("/",N1730)-1)</f>
        <v>music</v>
      </c>
      <c r="R1730" t="str">
        <f t="shared" ref="R1730:R1793" si="165">RIGHT(N1730,LEN(N1730)-FIND("/",N1730))</f>
        <v>faith</v>
      </c>
      <c r="S1730" s="11">
        <f t="shared" ref="S1730:S1793" si="166">(((J1730/60)/60)/24)+DATE(1970,1,1)</f>
        <v>42268.625856481478</v>
      </c>
      <c r="T1730" s="11">
        <f t="shared" ref="T1730:T1793" si="167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5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si="166"/>
        <v>42471.052152777775</v>
      </c>
      <c r="T1731" s="11">
        <f t="shared" si="16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(E1794/D1794)*100</f>
        <v>61.124000000000002</v>
      </c>
      <c r="P1794" s="5">
        <f t="shared" ref="P1794:P1857" si="169">E1794/L1794</f>
        <v>109.93525179856115</v>
      </c>
      <c r="Q1794" t="str">
        <f t="shared" ref="Q1794:Q1857" si="170">LEFT(N1794,FIND("/",N1794)-1)</f>
        <v>photography</v>
      </c>
      <c r="R1794" t="str">
        <f t="shared" ref="R1794:R1857" si="171">RIGHT(N1794,LEN(N1794)-FIND("/",N1794))</f>
        <v>photobooks</v>
      </c>
      <c r="S1794" s="11">
        <f t="shared" ref="S1794:S1857" si="172">(((J1794/60)/60)/24)+DATE(1970,1,1)</f>
        <v>42189.031041666662</v>
      </c>
      <c r="T1794" s="11">
        <f t="shared" ref="T1794:T1857" si="173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1.3333333333333335</v>
      </c>
      <c r="P1795" s="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41940.89166666667</v>
      </c>
      <c r="T1795" s="11">
        <f t="shared" si="173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(E1858/D1858)*100</f>
        <v>101.25</v>
      </c>
      <c r="P1858" s="5">
        <f t="shared" ref="P1858:P1921" si="175">E1858/L1858</f>
        <v>53.289473684210527</v>
      </c>
      <c r="Q1858" t="str">
        <f t="shared" ref="Q1858:Q1921" si="176">LEFT(N1858,FIND("/",N1858)-1)</f>
        <v>music</v>
      </c>
      <c r="R1858" t="str">
        <f t="shared" ref="R1858:R1921" si="177">RIGHT(N1858,LEN(N1858)-FIND("/",N1858))</f>
        <v>rock</v>
      </c>
      <c r="S1858" s="11">
        <f t="shared" ref="S1858:S1921" si="178">(((J1858/60)/60)/24)+DATE(1970,1,1)</f>
        <v>41817.854999999996</v>
      </c>
      <c r="T1858" s="11">
        <f t="shared" ref="T1858:T1921" si="179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 s="5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41864.76866898148</v>
      </c>
      <c r="T1859" s="11">
        <f t="shared" si="17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(E1922/D1922)*100</f>
        <v>43.03</v>
      </c>
      <c r="P1922" s="5">
        <f t="shared" ref="P1922:P1985" si="181">E1922/L1922</f>
        <v>40.980952380952381</v>
      </c>
      <c r="Q1922" t="str">
        <f t="shared" ref="Q1922:Q1985" si="182">LEFT(N1922,FIND("/",N1922)-1)</f>
        <v>technology</v>
      </c>
      <c r="R1922" t="str">
        <f t="shared" ref="R1922:R1985" si="183">RIGHT(N1922,LEN(N1922)-FIND("/",N1922))</f>
        <v>gadgets</v>
      </c>
      <c r="S1922" s="11">
        <f t="shared" ref="S1922:S1985" si="184">(((J1922/60)/60)/24)+DATE(1970,1,1)</f>
        <v>42270.875706018516</v>
      </c>
      <c r="T1922" s="11">
        <f t="shared" ref="T1922:T1985" si="185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136.80000000000001</v>
      </c>
      <c r="P1923" s="5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41074.221562500003</v>
      </c>
      <c r="T1923" s="11">
        <f t="shared" si="185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(E1986/D1986)*100</f>
        <v>21.146666666666665</v>
      </c>
      <c r="P1986" s="5">
        <f t="shared" ref="P1986:P2049" si="187">E1986/L1986</f>
        <v>453.14285714285717</v>
      </c>
      <c r="Q1986" t="str">
        <f t="shared" ref="Q1986:Q2049" si="188">LEFT(N1986,FIND("/",N1986)-1)</f>
        <v>photography</v>
      </c>
      <c r="R1986" t="str">
        <f t="shared" ref="R1986:R2049" si="189">RIGHT(N1986,LEN(N1986)-FIND("/",N1986))</f>
        <v>people</v>
      </c>
      <c r="S1986" s="11">
        <f t="shared" ref="S1986:S2049" si="190">(((J1986/60)/60)/24)+DATE(1970,1,1)</f>
        <v>41913.790289351848</v>
      </c>
      <c r="T1986" s="11">
        <f t="shared" ref="T1986:T2049" si="191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</v>
      </c>
      <c r="P1987" s="5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42555.698738425926</v>
      </c>
      <c r="T1987" s="11">
        <f t="shared" si="191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(E2050/D2050)*100</f>
        <v>148.33229411764705</v>
      </c>
      <c r="P2050" s="5">
        <f t="shared" ref="P2050:P2113" si="193">E2050/L2050</f>
        <v>91.82989803350327</v>
      </c>
      <c r="Q2050" t="str">
        <f t="shared" ref="Q2050:Q2113" si="194">LEFT(N2050,FIND("/",N2050)-1)</f>
        <v>technology</v>
      </c>
      <c r="R2050" t="str">
        <f t="shared" ref="R2050:R2113" si="195">RIGHT(N2050,LEN(N2050)-FIND("/",N2050))</f>
        <v>hardware</v>
      </c>
      <c r="S2050" s="11">
        <f t="shared" ref="S2050:S2113" si="196">(((J2050/60)/60)/24)+DATE(1970,1,1)</f>
        <v>41387.651516203703</v>
      </c>
      <c r="T2050" s="11">
        <f t="shared" ref="T2050:T2113" si="197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120.19070000000001</v>
      </c>
      <c r="P2051" s="5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41575.527349537035</v>
      </c>
      <c r="T2051" s="11">
        <f t="shared" si="19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(E2114/D2114)*100</f>
        <v>100</v>
      </c>
      <c r="P2114" s="5">
        <f t="shared" ref="P2114:P2177" si="199">E2114/L2114</f>
        <v>27.272727272727273</v>
      </c>
      <c r="Q2114" t="str">
        <f t="shared" ref="Q2114:Q2177" si="200">LEFT(N2114,FIND("/",N2114)-1)</f>
        <v>music</v>
      </c>
      <c r="R2114" t="str">
        <f t="shared" ref="R2114:R2177" si="201">RIGHT(N2114,LEN(N2114)-FIND("/",N2114))</f>
        <v>indie rock</v>
      </c>
      <c r="S2114" s="11">
        <f t="shared" ref="S2114:S2177" si="202">(((J2114/60)/60)/24)+DATE(1970,1,1)</f>
        <v>41365.928159722222</v>
      </c>
      <c r="T2114" s="11">
        <f t="shared" ref="T2114:T2177" si="203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104.85714285714285</v>
      </c>
      <c r="P2115" s="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41870.86546296296</v>
      </c>
      <c r="T2115" s="11">
        <f t="shared" si="203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(E2178/D2178)*100</f>
        <v>126.02</v>
      </c>
      <c r="P2178" s="5">
        <f t="shared" ref="P2178:P2241" si="205">E2178/L2178</f>
        <v>88.74647887323944</v>
      </c>
      <c r="Q2178" t="str">
        <f t="shared" ref="Q2178:Q2241" si="206">LEFT(N2178,FIND("/",N2178)-1)</f>
        <v>music</v>
      </c>
      <c r="R2178" t="str">
        <f t="shared" ref="R2178:R2241" si="207">RIGHT(N2178,LEN(N2178)-FIND("/",N2178))</f>
        <v>rock</v>
      </c>
      <c r="S2178" s="11">
        <f t="shared" ref="S2178:S2241" si="208">(((J2178/60)/60)/24)+DATE(1970,1,1)</f>
        <v>42096.633206018523</v>
      </c>
      <c r="T2178" s="11">
        <f t="shared" ref="T2178:T2241" si="209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100.12</v>
      </c>
      <c r="P2179" s="5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42502.250775462962</v>
      </c>
      <c r="T2179" s="11">
        <f t="shared" si="20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(E2242/D2242)*100</f>
        <v>270.68</v>
      </c>
      <c r="P2242" s="5">
        <f t="shared" ref="P2242:P2305" si="211">E2242/L2242</f>
        <v>140.97916666666666</v>
      </c>
      <c r="Q2242" t="str">
        <f t="shared" ref="Q2242:Q2305" si="212">LEFT(N2242,FIND("/",N2242)-1)</f>
        <v>games</v>
      </c>
      <c r="R2242" t="str">
        <f t="shared" ref="R2242:R2305" si="213">RIGHT(N2242,LEN(N2242)-FIND("/",N2242))</f>
        <v>tabletop games</v>
      </c>
      <c r="S2242" s="11">
        <f t="shared" ref="S2242:S2305" si="214">(((J2242/60)/60)/24)+DATE(1970,1,1)</f>
        <v>42452.825740740736</v>
      </c>
      <c r="T2242" s="11">
        <f t="shared" ref="T2242:T2305" si="215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806.4</v>
      </c>
      <c r="P2243" s="5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42766.827546296292</v>
      </c>
      <c r="T2243" s="11">
        <f t="shared" si="215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(E2306/D2306)*100</f>
        <v>100.70033333333335</v>
      </c>
      <c r="P2306" s="5">
        <f t="shared" ref="P2306:P2369" si="217">E2306/L2306</f>
        <v>53.469203539823013</v>
      </c>
      <c r="Q2306" t="str">
        <f t="shared" ref="Q2306:Q2369" si="218">LEFT(N2306,FIND("/",N2306)-1)</f>
        <v>music</v>
      </c>
      <c r="R2306" t="str">
        <f t="shared" ref="R2306:R2369" si="219">RIGHT(N2306,LEN(N2306)-FIND("/",N2306))</f>
        <v>indie rock</v>
      </c>
      <c r="S2306" s="11">
        <f t="shared" ref="S2306:S2369" si="220">(((J2306/60)/60)/24)+DATE(1970,1,1)</f>
        <v>40502.815868055557</v>
      </c>
      <c r="T2306" s="11">
        <f t="shared" ref="T2306:T2369" si="221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101.22777777777779</v>
      </c>
      <c r="P2307" s="5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41834.695277777777</v>
      </c>
      <c r="T2307" s="11">
        <f t="shared" si="221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(E2370/D2370)*100</f>
        <v>0.25</v>
      </c>
      <c r="P2370" s="5">
        <f t="shared" ref="P2370:P2433" si="223">E2370/L2370</f>
        <v>50</v>
      </c>
      <c r="Q2370" t="str">
        <f t="shared" ref="Q2370:Q2433" si="224">LEFT(N2370,FIND("/",N2370)-1)</f>
        <v>technology</v>
      </c>
      <c r="R2370" t="str">
        <f t="shared" ref="R2370:R2433" si="225">RIGHT(N2370,LEN(N2370)-FIND("/",N2370))</f>
        <v>web</v>
      </c>
      <c r="S2370" s="11">
        <f t="shared" ref="S2370:S2433" si="226">(((J2370/60)/60)/24)+DATE(1970,1,1)</f>
        <v>42063.721817129626</v>
      </c>
      <c r="T2370" s="11">
        <f t="shared" ref="T2370:T2433" si="227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5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42380.812627314815</v>
      </c>
      <c r="T2371" s="11">
        <f t="shared" si="22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(E2434/D2434)*100</f>
        <v>1.4285714285714287E-2</v>
      </c>
      <c r="P2434" s="5">
        <f t="shared" ref="P2434:P2497" si="229">E2434/L2434</f>
        <v>1</v>
      </c>
      <c r="Q2434" t="str">
        <f t="shared" ref="Q2434:Q2497" si="230">LEFT(N2434,FIND("/",N2434)-1)</f>
        <v>food</v>
      </c>
      <c r="R2434" t="str">
        <f t="shared" ref="R2434:R2497" si="231">RIGHT(N2434,LEN(N2434)-FIND("/",N2434))</f>
        <v>food trucks</v>
      </c>
      <c r="S2434" s="11">
        <f t="shared" ref="S2434:S2497" si="232">(((J2434/60)/60)/24)+DATE(1970,1,1)</f>
        <v>42041.218715277777</v>
      </c>
      <c r="T2434" s="11">
        <f t="shared" ref="T2434:T2497" si="233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5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42397.89980324074</v>
      </c>
      <c r="T2435" s="11">
        <f t="shared" si="233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(E2498/D2498)*100</f>
        <v>100</v>
      </c>
      <c r="P2498" s="5">
        <f t="shared" ref="P2498:P2561" si="235">E2498/L2498</f>
        <v>600</v>
      </c>
      <c r="Q2498" t="str">
        <f t="shared" ref="Q2498:Q2561" si="236">LEFT(N2498,FIND("/",N2498)-1)</f>
        <v>music</v>
      </c>
      <c r="R2498" t="str">
        <f t="shared" ref="R2498:R2561" si="237">RIGHT(N2498,LEN(N2498)-FIND("/",N2498))</f>
        <v>indie rock</v>
      </c>
      <c r="S2498" s="11">
        <f t="shared" ref="S2498:S2561" si="238">(((J2498/60)/60)/24)+DATE(1970,1,1)</f>
        <v>41327.996435185189</v>
      </c>
      <c r="T2498" s="11">
        <f t="shared" ref="T2498:T2561" si="239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112.7715</v>
      </c>
      <c r="P2499" s="5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40730.878912037035</v>
      </c>
      <c r="T2499" s="11">
        <f t="shared" si="23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(E2562/D2562)*100</f>
        <v>100.1</v>
      </c>
      <c r="P2562" s="5">
        <f t="shared" ref="P2562:P2625" si="241">E2562/L2562</f>
        <v>143</v>
      </c>
      <c r="Q2562" t="str">
        <f t="shared" ref="Q2562:Q2625" si="242">LEFT(N2562,FIND("/",N2562)-1)</f>
        <v>music</v>
      </c>
      <c r="R2562" t="str">
        <f t="shared" ref="R2562:R2625" si="243">RIGHT(N2562,LEN(N2562)-FIND("/",N2562))</f>
        <v>classical music</v>
      </c>
      <c r="S2562" s="11">
        <f t="shared" ref="S2562:S2625" si="244">(((J2562/60)/60)/24)+DATE(1970,1,1)</f>
        <v>42039.951087962967</v>
      </c>
      <c r="T2562" s="11">
        <f t="shared" ref="T2562:T2625" si="245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5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42260.528807870374</v>
      </c>
      <c r="T2563" s="11">
        <f t="shared" si="245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(E2626/D2626)*100</f>
        <v>1379.4206249999997</v>
      </c>
      <c r="P2626" s="5">
        <f t="shared" ref="P2626:P2689" si="247">E2626/L2626</f>
        <v>31.820544982698959</v>
      </c>
      <c r="Q2626" t="str">
        <f t="shared" ref="Q2626:Q2689" si="248">LEFT(N2626,FIND("/",N2626)-1)</f>
        <v>technology</v>
      </c>
      <c r="R2626" t="str">
        <f t="shared" ref="R2626:R2689" si="249">RIGHT(N2626,LEN(N2626)-FIND("/",N2626))</f>
        <v>space exploration</v>
      </c>
      <c r="S2626" s="11">
        <f t="shared" ref="S2626:S2689" si="250">(((J2626/60)/60)/24)+DATE(1970,1,1)</f>
        <v>41144.42155092593</v>
      </c>
      <c r="T2626" s="11">
        <f t="shared" ref="T2626:T2689" si="251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 s="5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42658.810277777782</v>
      </c>
      <c r="T2627" s="11">
        <f t="shared" si="251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(E2690/D2690)*100</f>
        <v>0.14799999999999999</v>
      </c>
      <c r="P2690" s="5">
        <f t="shared" ref="P2690:P2753" si="253">E2690/L2690</f>
        <v>5.2857142857142856</v>
      </c>
      <c r="Q2690" t="str">
        <f t="shared" ref="Q2690:Q2753" si="254">LEFT(N2690,FIND("/",N2690)-1)</f>
        <v>food</v>
      </c>
      <c r="R2690" t="str">
        <f t="shared" ref="R2690:R2753" si="255">RIGHT(N2690,LEN(N2690)-FIND("/",N2690))</f>
        <v>food trucks</v>
      </c>
      <c r="S2690" s="11">
        <f t="shared" ref="S2690:S2753" si="256">(((J2690/60)/60)/24)+DATE(1970,1,1)</f>
        <v>42028.118865740747</v>
      </c>
      <c r="T2690" s="11">
        <f t="shared" ref="T2690:T2753" si="257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2.8571428571428571E-3</v>
      </c>
      <c r="P2691" s="5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42551.961689814809</v>
      </c>
      <c r="T2691" s="11">
        <f t="shared" si="25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(E2754/D2754)*100</f>
        <v>11.458333333333332</v>
      </c>
      <c r="P2754" s="5">
        <f t="shared" ref="P2754:P2817" si="259">E2754/L2754</f>
        <v>39.285714285714285</v>
      </c>
      <c r="Q2754" t="str">
        <f t="shared" ref="Q2754:Q2817" si="260">LEFT(N2754,FIND("/",N2754)-1)</f>
        <v>publishing</v>
      </c>
      <c r="R2754" t="str">
        <f t="shared" ref="R2754:R2817" si="261">RIGHT(N2754,LEN(N2754)-FIND("/",N2754))</f>
        <v>children's books</v>
      </c>
      <c r="S2754" s="11">
        <f t="shared" ref="S2754:S2817" si="262">(((J2754/60)/60)/24)+DATE(1970,1,1)</f>
        <v>40855.765092592592</v>
      </c>
      <c r="T2754" s="11">
        <f t="shared" ref="T2754:T2817" si="263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 s="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41117.900729166664</v>
      </c>
      <c r="T2755" s="11">
        <f t="shared" si="263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(E2818/D2818)*100</f>
        <v>141.56666666666666</v>
      </c>
      <c r="P2818" s="5">
        <f t="shared" ref="P2818:P2881" si="265">E2818/L2818</f>
        <v>25.130177514792898</v>
      </c>
      <c r="Q2818" t="str">
        <f t="shared" ref="Q2818:Q2881" si="266">LEFT(N2818,FIND("/",N2818)-1)</f>
        <v>theater</v>
      </c>
      <c r="R2818" t="str">
        <f t="shared" ref="R2818:R2881" si="267">RIGHT(N2818,LEN(N2818)-FIND("/",N2818))</f>
        <v>plays</v>
      </c>
      <c r="S2818" s="11">
        <f t="shared" ref="S2818:S2881" si="268">(((J2818/60)/60)/24)+DATE(1970,1,1)</f>
        <v>42188.467499999999</v>
      </c>
      <c r="T2818" s="11">
        <f t="shared" ref="T2818:T2881" si="269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 s="5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si="268"/>
        <v>42023.634976851856</v>
      </c>
      <c r="T2819" s="11">
        <f t="shared" si="26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(E2882/D2882)*100</f>
        <v>23.333333333333332</v>
      </c>
      <c r="P2882" s="5">
        <f t="shared" ref="P2882:P2945" si="271">E2882/L2882</f>
        <v>96.551724137931032</v>
      </c>
      <c r="Q2882" t="str">
        <f t="shared" ref="Q2882:Q2945" si="272">LEFT(N2882,FIND("/",N2882)-1)</f>
        <v>theater</v>
      </c>
      <c r="R2882" t="str">
        <f t="shared" ref="R2882:R2945" si="273">RIGHT(N2882,LEN(N2882)-FIND("/",N2882))</f>
        <v>plays</v>
      </c>
      <c r="S2882" s="11">
        <f t="shared" ref="S2882:S2945" si="274">(((J2882/60)/60)/24)+DATE(1970,1,1)</f>
        <v>42192.905694444446</v>
      </c>
      <c r="T2882" s="11">
        <f t="shared" ref="T2882:T2945" si="275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5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1">
        <f t="shared" si="274"/>
        <v>41916.597638888888</v>
      </c>
      <c r="T2883" s="11">
        <f t="shared" si="275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(E2946/D2946)*100</f>
        <v>1</v>
      </c>
      <c r="P2946" s="5">
        <f t="shared" ref="P2946:P3009" si="277">E2946/L2946</f>
        <v>100</v>
      </c>
      <c r="Q2946" t="str">
        <f t="shared" ref="Q2946:Q3009" si="278">LEFT(N2946,FIND("/",N2946)-1)</f>
        <v>theater</v>
      </c>
      <c r="R2946" t="str">
        <f t="shared" ref="R2946:R3009" si="279">RIGHT(N2946,LEN(N2946)-FIND("/",N2946))</f>
        <v>spaces</v>
      </c>
      <c r="S2946" s="11">
        <f t="shared" ref="S2946:S3009" si="280">(((J2946/60)/60)/24)+DATE(1970,1,1)</f>
        <v>42132.9143287037</v>
      </c>
      <c r="T2946" s="11">
        <f t="shared" ref="T2946:T3009" si="281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5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1">
        <f t="shared" si="280"/>
        <v>42118.139583333337</v>
      </c>
      <c r="T2947" s="11">
        <f t="shared" si="281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(E3010/D3010)*100</f>
        <v>101.16666666666667</v>
      </c>
      <c r="P3010" s="5">
        <f t="shared" ref="P3010:P3073" si="283">E3010/L3010</f>
        <v>116.73076923076923</v>
      </c>
      <c r="Q3010" t="str">
        <f t="shared" ref="Q3010:Q3073" si="284">LEFT(N3010,FIND("/",N3010)-1)</f>
        <v>theater</v>
      </c>
      <c r="R3010" t="str">
        <f t="shared" ref="R3010:R3073" si="285">RIGHT(N3010,LEN(N3010)-FIND("/",N3010))</f>
        <v>spaces</v>
      </c>
      <c r="S3010" s="11">
        <f t="shared" ref="S3010:S3073" si="286">(((J3010/60)/60)/24)+DATE(1970,1,1)</f>
        <v>42360.212025462963</v>
      </c>
      <c r="T3010" s="11">
        <f t="shared" ref="T3010:T3073" si="287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119.756</v>
      </c>
      <c r="P3011" s="5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si="286"/>
        <v>41939.569907407407</v>
      </c>
      <c r="T3011" s="11">
        <f t="shared" si="2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(E3074/D3074)*100</f>
        <v>1.6666666666666666E-2</v>
      </c>
      <c r="P3074" s="5">
        <f t="shared" ref="P3074:P3137" si="289">E3074/L3074</f>
        <v>1</v>
      </c>
      <c r="Q3074" t="str">
        <f t="shared" ref="Q3074:Q3137" si="290">LEFT(N3074,FIND("/",N3074)-1)</f>
        <v>theater</v>
      </c>
      <c r="R3074" t="str">
        <f t="shared" ref="R3074:R3137" si="291">RIGHT(N3074,LEN(N3074)-FIND("/",N3074))</f>
        <v>spaces</v>
      </c>
      <c r="S3074" s="11">
        <f t="shared" ref="S3074:S3137" si="292">(((J3074/60)/60)/24)+DATE(1970,1,1)</f>
        <v>42658.690532407403</v>
      </c>
      <c r="T3074" s="11">
        <f t="shared" ref="T3074:T3137" si="293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2.3035714285714284E-2</v>
      </c>
      <c r="P3075" s="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si="292"/>
        <v>42111.684027777781</v>
      </c>
      <c r="T3075" s="11">
        <f t="shared" si="293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(E3138/D3138)*100</f>
        <v>127.8</v>
      </c>
      <c r="P3138" s="5">
        <f t="shared" ref="P3138:P3201" si="295">E3138/L3138</f>
        <v>29.045454545454547</v>
      </c>
      <c r="Q3138" t="str">
        <f t="shared" ref="Q3138:Q3201" si="296">LEFT(N3138,FIND("/",N3138)-1)</f>
        <v>theater</v>
      </c>
      <c r="R3138" t="str">
        <f t="shared" ref="R3138:R3201" si="297">RIGHT(N3138,LEN(N3138)-FIND("/",N3138))</f>
        <v>plays</v>
      </c>
      <c r="S3138" s="11">
        <f t="shared" ref="S3138:S3201" si="298">(((J3138/60)/60)/24)+DATE(1970,1,1)</f>
        <v>42789.462430555555</v>
      </c>
      <c r="T3138" s="11">
        <f t="shared" ref="T3138:T3201" si="299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3.3333333333333335</v>
      </c>
      <c r="P3139" s="5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42807.885057870371</v>
      </c>
      <c r="T3139" s="11">
        <f t="shared" si="2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(E3202/D3202)*100</f>
        <v>2E-3</v>
      </c>
      <c r="P3202" s="5">
        <f t="shared" ref="P3202:P3265" si="301">E3202/L3202</f>
        <v>1</v>
      </c>
      <c r="Q3202" t="str">
        <f t="shared" ref="Q3202:Q3265" si="302">LEFT(N3202,FIND("/",N3202)-1)</f>
        <v>theater</v>
      </c>
      <c r="R3202" t="str">
        <f t="shared" ref="R3202:R3265" si="303">RIGHT(N3202,LEN(N3202)-FIND("/",N3202))</f>
        <v>musical</v>
      </c>
      <c r="S3202" s="11">
        <f t="shared" ref="S3202:S3265" si="304">(((J3202/60)/60)/24)+DATE(1970,1,1)</f>
        <v>42460.320613425924</v>
      </c>
      <c r="T3202" s="11">
        <f t="shared" ref="T3202:T3265" si="305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</v>
      </c>
      <c r="P3203" s="5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41861.767094907409</v>
      </c>
      <c r="T3203" s="11">
        <f t="shared" si="305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(E3266/D3266)*100</f>
        <v>103</v>
      </c>
      <c r="P3266" s="5">
        <f t="shared" ref="P3266:P3329" si="307">E3266/L3266</f>
        <v>52.551020408163268</v>
      </c>
      <c r="Q3266" t="str">
        <f t="shared" ref="Q3266:Q3329" si="308">LEFT(N3266,FIND("/",N3266)-1)</f>
        <v>theater</v>
      </c>
      <c r="R3266" t="str">
        <f t="shared" ref="R3266:R3329" si="309">RIGHT(N3266,LEN(N3266)-FIND("/",N3266))</f>
        <v>plays</v>
      </c>
      <c r="S3266" s="11">
        <f t="shared" ref="S3266:S3329" si="310">(((J3266/60)/60)/24)+DATE(1970,1,1)</f>
        <v>42016.800208333334</v>
      </c>
      <c r="T3266" s="11">
        <f t="shared" ref="T3266:T3329" si="311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 s="5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si="310"/>
        <v>42311.711979166663</v>
      </c>
      <c r="T3267" s="11">
        <f t="shared" si="311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(E3330/D3330)*100</f>
        <v>146.38888888888889</v>
      </c>
      <c r="P3330" s="5">
        <f t="shared" ref="P3330:P3393" si="313">E3330/L3330</f>
        <v>292.77777777777777</v>
      </c>
      <c r="Q3330" t="str">
        <f t="shared" ref="Q3330:Q3393" si="314">LEFT(N3330,FIND("/",N3330)-1)</f>
        <v>theater</v>
      </c>
      <c r="R3330" t="str">
        <f t="shared" ref="R3330:R3393" si="315">RIGHT(N3330,LEN(N3330)-FIND("/",N3330))</f>
        <v>plays</v>
      </c>
      <c r="S3330" s="11">
        <f t="shared" ref="S3330:S3393" si="316">(((J3330/60)/60)/24)+DATE(1970,1,1)</f>
        <v>41822.57503472222</v>
      </c>
      <c r="T3330" s="11">
        <f t="shared" ref="T3330:T3393" si="317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116.8</v>
      </c>
      <c r="P3331" s="5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41837.323009259257</v>
      </c>
      <c r="T3331" s="11">
        <f t="shared" si="31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(E3394/D3394)*100</f>
        <v>100</v>
      </c>
      <c r="P3394" s="5">
        <f t="shared" ref="P3394:P3457" si="319">E3394/L3394</f>
        <v>41.666666666666664</v>
      </c>
      <c r="Q3394" t="str">
        <f t="shared" ref="Q3394:Q3457" si="320">LEFT(N3394,FIND("/",N3394)-1)</f>
        <v>theater</v>
      </c>
      <c r="R3394" t="str">
        <f t="shared" ref="R3394:R3457" si="321">RIGHT(N3394,LEN(N3394)-FIND("/",N3394))</f>
        <v>plays</v>
      </c>
      <c r="S3394" s="11">
        <f t="shared" ref="S3394:S3457" si="322">(((J3394/60)/60)/24)+DATE(1970,1,1)</f>
        <v>42446.845543981486</v>
      </c>
      <c r="T3394" s="11">
        <f t="shared" ref="T3394:T3457" si="323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105.80000000000001</v>
      </c>
      <c r="P3395" s="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si="322"/>
        <v>41923.921643518523</v>
      </c>
      <c r="T3395" s="11">
        <f t="shared" si="323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(E3458/D3458)*100</f>
        <v>191.3</v>
      </c>
      <c r="P3458" s="5">
        <f t="shared" ref="P3458:P3521" si="325">E3458/L3458</f>
        <v>358.6875</v>
      </c>
      <c r="Q3458" t="str">
        <f t="shared" ref="Q3458:Q3521" si="326">LEFT(N3458,FIND("/",N3458)-1)</f>
        <v>theater</v>
      </c>
      <c r="R3458" t="str">
        <f t="shared" ref="R3458:R3521" si="327">RIGHT(N3458,LEN(N3458)-FIND("/",N3458))</f>
        <v>plays</v>
      </c>
      <c r="S3458" s="11">
        <f t="shared" ref="S3458:S3521" si="328">(((J3458/60)/60)/24)+DATE(1970,1,1)</f>
        <v>41821.205636574072</v>
      </c>
      <c r="T3458" s="11">
        <f t="shared" ref="T3458:T3521" si="329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140.19999999999999</v>
      </c>
      <c r="P3459" s="5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si="328"/>
        <v>42016.706678240742</v>
      </c>
      <c r="T3459" s="11">
        <f t="shared" si="32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(E3522/D3522)*100</f>
        <v>100.75</v>
      </c>
      <c r="P3522" s="5">
        <f t="shared" ref="P3522:P3585" si="331">E3522/L3522</f>
        <v>95.952380952380949</v>
      </c>
      <c r="Q3522" t="str">
        <f t="shared" ref="Q3522:Q3585" si="332">LEFT(N3522,FIND("/",N3522)-1)</f>
        <v>theater</v>
      </c>
      <c r="R3522" t="str">
        <f t="shared" ref="R3522:R3585" si="333">RIGHT(N3522,LEN(N3522)-FIND("/",N3522))</f>
        <v>plays</v>
      </c>
      <c r="S3522" s="11">
        <f t="shared" ref="S3522:S3585" si="334">(((J3522/60)/60)/24)+DATE(1970,1,1)</f>
        <v>42227.824212962965</v>
      </c>
      <c r="T3522" s="11">
        <f t="shared" ref="T3522:T3585" si="335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169.42857142857144</v>
      </c>
      <c r="P3523" s="5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si="334"/>
        <v>41881.361342592594</v>
      </c>
      <c r="T3523" s="11">
        <f t="shared" si="335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(E3586/D3586)*100</f>
        <v>115.5</v>
      </c>
      <c r="P3586" s="5">
        <f t="shared" ref="P3586:P3649" si="337">E3586/L3586</f>
        <v>30.9375</v>
      </c>
      <c r="Q3586" t="str">
        <f t="shared" ref="Q3586:Q3649" si="338">LEFT(N3586,FIND("/",N3586)-1)</f>
        <v>theater</v>
      </c>
      <c r="R3586" t="str">
        <f t="shared" ref="R3586:R3649" si="339">RIGHT(N3586,LEN(N3586)-FIND("/",N3586))</f>
        <v>plays</v>
      </c>
      <c r="S3586" s="11">
        <f t="shared" ref="S3586:S3649" si="340">(((J3586/60)/60)/24)+DATE(1970,1,1)</f>
        <v>42168.316481481481</v>
      </c>
      <c r="T3586" s="11">
        <f t="shared" ref="T3586:T3649" si="341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119.11764705882352</v>
      </c>
      <c r="P3587" s="5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si="340"/>
        <v>41964.716319444444</v>
      </c>
      <c r="T3587" s="11">
        <f t="shared" si="341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(E3650/D3650)*100</f>
        <v>100.38249999999999</v>
      </c>
      <c r="P3650" s="5">
        <f t="shared" ref="P3650:P3713" si="343">E3650/L3650</f>
        <v>550.04109589041093</v>
      </c>
      <c r="Q3650" t="str">
        <f t="shared" ref="Q3650:Q3713" si="344">LEFT(N3650,FIND("/",N3650)-1)</f>
        <v>theater</v>
      </c>
      <c r="R3650" t="str">
        <f t="shared" ref="R3650:R3713" si="345">RIGHT(N3650,LEN(N3650)-FIND("/",N3650))</f>
        <v>plays</v>
      </c>
      <c r="S3650" s="11">
        <f t="shared" ref="S3650:S3713" si="346">(((J3650/60)/60)/24)+DATE(1970,1,1)</f>
        <v>41887.292187500003</v>
      </c>
      <c r="T3650" s="11">
        <f t="shared" ref="T3650:T3713" si="347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 s="5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41780.712893518517</v>
      </c>
      <c r="T3651" s="11">
        <f t="shared" si="34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(E3714/D3714)*100</f>
        <v>153.73333333333335</v>
      </c>
      <c r="P3714" s="5">
        <f t="shared" ref="P3714:P3777" si="349">E3714/L3714</f>
        <v>110.86538461538461</v>
      </c>
      <c r="Q3714" t="str">
        <f t="shared" ref="Q3714:Q3777" si="350">LEFT(N3714,FIND("/",N3714)-1)</f>
        <v>theater</v>
      </c>
      <c r="R3714" t="str">
        <f t="shared" ref="R3714:R3777" si="351">RIGHT(N3714,LEN(N3714)-FIND("/",N3714))</f>
        <v>plays</v>
      </c>
      <c r="S3714" s="11">
        <f t="shared" ref="S3714:S3777" si="352">(((J3714/60)/60)/24)+DATE(1970,1,1)</f>
        <v>42134.172071759262</v>
      </c>
      <c r="T3714" s="11">
        <f t="shared" ref="T3714:T3777" si="353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101.49999999999999</v>
      </c>
      <c r="P3715" s="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si="352"/>
        <v>42505.738032407404</v>
      </c>
      <c r="T3715" s="11">
        <f t="shared" si="353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(E3778/D3778)*100</f>
        <v>106.71250000000001</v>
      </c>
      <c r="P3778" s="5">
        <f t="shared" ref="P3778:P3841" si="355">E3778/L3778</f>
        <v>90.819148936170208</v>
      </c>
      <c r="Q3778" t="str">
        <f t="shared" ref="Q3778:Q3841" si="356">LEFT(N3778,FIND("/",N3778)-1)</f>
        <v>theater</v>
      </c>
      <c r="R3778" t="str">
        <f t="shared" ref="R3778:R3841" si="357">RIGHT(N3778,LEN(N3778)-FIND("/",N3778))</f>
        <v>musical</v>
      </c>
      <c r="S3778" s="11">
        <f t="shared" ref="S3778:S3841" si="358">(((J3778/60)/60)/24)+DATE(1970,1,1)</f>
        <v>41814.367800925924</v>
      </c>
      <c r="T3778" s="11">
        <f t="shared" ref="T3778:T3841" si="359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143.19999999999999</v>
      </c>
      <c r="P3779" s="5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si="358"/>
        <v>41887.111354166671</v>
      </c>
      <c r="T3779" s="11">
        <f t="shared" si="35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(E3842/D3842)*100</f>
        <v>6500</v>
      </c>
      <c r="P3842" s="5">
        <f t="shared" ref="P3842:P3905" si="361">E3842/L3842</f>
        <v>21.666666666666668</v>
      </c>
      <c r="Q3842" t="str">
        <f t="shared" ref="Q3842:Q3905" si="362">LEFT(N3842,FIND("/",N3842)-1)</f>
        <v>theater</v>
      </c>
      <c r="R3842" t="str">
        <f t="shared" ref="R3842:R3905" si="363">RIGHT(N3842,LEN(N3842)-FIND("/",N3842))</f>
        <v>plays</v>
      </c>
      <c r="S3842" s="11">
        <f t="shared" ref="S3842:S3905" si="364">(((J3842/60)/60)/24)+DATE(1970,1,1)</f>
        <v>42432.701724537037</v>
      </c>
      <c r="T3842" s="11">
        <f t="shared" ref="T3842:T3905" si="365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8.7200000000000006</v>
      </c>
      <c r="P3843" s="5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41780.785729166666</v>
      </c>
      <c r="T3843" s="11">
        <f t="shared" si="365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(E3906/D3906)*100</f>
        <v>0.03</v>
      </c>
      <c r="P3906" s="5">
        <f t="shared" ref="P3906:P3969" si="367">E3906/L3906</f>
        <v>1.5</v>
      </c>
      <c r="Q3906" t="str">
        <f t="shared" ref="Q3906:Q3969" si="368">LEFT(N3906,FIND("/",N3906)-1)</f>
        <v>theater</v>
      </c>
      <c r="R3906" t="str">
        <f t="shared" ref="R3906:R3969" si="369">RIGHT(N3906,LEN(N3906)-FIND("/",N3906))</f>
        <v>plays</v>
      </c>
      <c r="S3906" s="11">
        <f t="shared" ref="S3906:S3969" si="370">(((J3906/60)/60)/24)+DATE(1970,1,1)</f>
        <v>42095.229166666672</v>
      </c>
      <c r="T3906" s="11">
        <f t="shared" ref="T3906:T3969" si="371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11.533333333333333</v>
      </c>
      <c r="P3907" s="5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42124.623877314814</v>
      </c>
      <c r="T3907" s="11">
        <f t="shared" si="371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(E3970/D3970)*100</f>
        <v>10.54</v>
      </c>
      <c r="P3970" s="5">
        <f t="shared" ref="P3970:P4033" si="373">E3970/L3970</f>
        <v>47.909090909090907</v>
      </c>
      <c r="Q3970" t="str">
        <f t="shared" ref="Q3970:Q4033" si="374">LEFT(N3970,FIND("/",N3970)-1)</f>
        <v>theater</v>
      </c>
      <c r="R3970" t="str">
        <f t="shared" ref="R3970:R4033" si="375">RIGHT(N3970,LEN(N3970)-FIND("/",N3970))</f>
        <v>plays</v>
      </c>
      <c r="S3970" s="11">
        <f t="shared" ref="S3970:S4033" si="376">(((J3970/60)/60)/24)+DATE(1970,1,1)</f>
        <v>42452.815659722226</v>
      </c>
      <c r="T3970" s="11">
        <f t="shared" ref="T3970:T4033" si="377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7.4690265486725664</v>
      </c>
      <c r="P3971" s="5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42601.854699074072</v>
      </c>
      <c r="T3971" s="11">
        <f t="shared" si="37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(E4034/D4034)*100</f>
        <v>6.8287037037037033</v>
      </c>
      <c r="P4034" s="5">
        <f t="shared" ref="P4034:P4097" si="379">E4034/L4034</f>
        <v>59</v>
      </c>
      <c r="Q4034" t="str">
        <f t="shared" ref="Q4034:Q4097" si="380">LEFT(N4034,FIND("/",N4034)-1)</f>
        <v>theater</v>
      </c>
      <c r="R4034" t="str">
        <f t="shared" ref="R4034:R4097" si="381">RIGHT(N4034,LEN(N4034)-FIND("/",N4034))</f>
        <v>plays</v>
      </c>
      <c r="S4034" s="11">
        <f t="shared" ref="S4034:S4097" si="382">(((J4034/60)/60)/24)+DATE(1970,1,1)</f>
        <v>42293.809212962966</v>
      </c>
      <c r="T4034" s="11">
        <f t="shared" ref="T4034:T4097" si="383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25.698702928870294</v>
      </c>
      <c r="P4035" s="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42614.268796296295</v>
      </c>
      <c r="T4035" s="11">
        <f t="shared" si="383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(E4098/D4098)*100</f>
        <v>11.428571428571429</v>
      </c>
      <c r="P4098" s="5">
        <f t="shared" ref="P4098:P4115" si="385">E4098/L4098</f>
        <v>80</v>
      </c>
      <c r="Q4098" t="str">
        <f t="shared" ref="Q4098:Q4115" si="386">LEFT(N4098,FIND("/",N4098)-1)</f>
        <v>theater</v>
      </c>
      <c r="R4098" t="str">
        <f t="shared" ref="R4098:R4115" si="387">RIGHT(N4098,LEN(N4098)-FIND("/",N4098))</f>
        <v>plays</v>
      </c>
      <c r="S4098" s="11">
        <f t="shared" ref="S4098:S4115" si="388">(((J4098/60)/60)/24)+DATE(1970,1,1)</f>
        <v>42750.530312499999</v>
      </c>
      <c r="T4098" s="11">
        <f t="shared" ref="T4098:T4115" si="389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5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42344.824502314819</v>
      </c>
      <c r="T4099" s="11">
        <f t="shared" si="38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 P1 R1">
    <cfRule type="colorScale" priority="3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conditionalFormatting sqref="Q1">
    <cfRule type="colorScale" priority="2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conditionalFormatting sqref="S1:T1">
    <cfRule type="colorScale" priority="1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C0FDB-F3EE-0740-B21A-C22E8A9D69FD}">
  <dimension ref="A1:F14"/>
  <sheetViews>
    <sheetView workbookViewId="0">
      <selection activeCell="J13" sqref="J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8323</v>
      </c>
      <c r="B3" s="7" t="s">
        <v>8322</v>
      </c>
    </row>
    <row r="4" spans="1:6" x14ac:dyDescent="0.2">
      <c r="A4" s="7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">
      <c r="A5" s="8" t="s">
        <v>8312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8" t="s">
        <v>8313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8" t="s">
        <v>8314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8" t="s">
        <v>8315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8316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8" t="s">
        <v>8317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8" t="s">
        <v>8318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8" t="s">
        <v>8320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8" t="s">
        <v>8321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22036-773D-5E48-AD21-91D167267F0E}">
  <dimension ref="A1:F47"/>
  <sheetViews>
    <sheetView workbookViewId="0">
      <selection activeCell="K3" sqref="K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8308</v>
      </c>
      <c r="B2" t="s">
        <v>8310</v>
      </c>
    </row>
    <row r="4" spans="1:6" x14ac:dyDescent="0.2">
      <c r="A4" s="7" t="s">
        <v>8323</v>
      </c>
      <c r="B4" s="7" t="s">
        <v>8322</v>
      </c>
    </row>
    <row r="5" spans="1:6" x14ac:dyDescent="0.2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">
      <c r="A6" s="8" t="s">
        <v>8324</v>
      </c>
      <c r="B6" s="9"/>
      <c r="C6" s="9"/>
      <c r="D6" s="9">
        <v>100</v>
      </c>
      <c r="E6" s="9"/>
      <c r="F6" s="9">
        <v>100</v>
      </c>
    </row>
    <row r="7" spans="1:6" x14ac:dyDescent="0.2">
      <c r="A7" s="8" t="s">
        <v>8325</v>
      </c>
      <c r="B7" s="9"/>
      <c r="C7" s="9"/>
      <c r="D7" s="9"/>
      <c r="E7" s="9">
        <v>20</v>
      </c>
      <c r="F7" s="9">
        <v>20</v>
      </c>
    </row>
    <row r="8" spans="1:6" x14ac:dyDescent="0.2">
      <c r="A8" s="8" t="s">
        <v>8326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8327</v>
      </c>
      <c r="B9" s="9"/>
      <c r="C9" s="9"/>
      <c r="D9" s="9">
        <v>40</v>
      </c>
      <c r="E9" s="9"/>
      <c r="F9" s="9">
        <v>40</v>
      </c>
    </row>
    <row r="10" spans="1:6" x14ac:dyDescent="0.2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8330</v>
      </c>
      <c r="B12" s="9"/>
      <c r="C12" s="9"/>
      <c r="D12" s="9">
        <v>80</v>
      </c>
      <c r="E12" s="9"/>
      <c r="F12" s="9">
        <v>80</v>
      </c>
    </row>
    <row r="13" spans="1:6" x14ac:dyDescent="0.2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8" t="s">
        <v>8333</v>
      </c>
      <c r="B15" s="9"/>
      <c r="C15" s="9"/>
      <c r="D15" s="9">
        <v>40</v>
      </c>
      <c r="E15" s="9"/>
      <c r="F15" s="9">
        <v>40</v>
      </c>
    </row>
    <row r="16" spans="1:6" x14ac:dyDescent="0.2">
      <c r="A16" s="8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8" t="s">
        <v>8335</v>
      </c>
      <c r="B17" s="9"/>
      <c r="C17" s="9"/>
      <c r="D17" s="9">
        <v>20</v>
      </c>
      <c r="E17" s="9"/>
      <c r="F17" s="9">
        <v>20</v>
      </c>
    </row>
    <row r="18" spans="1:6" x14ac:dyDescent="0.2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8" t="s">
        <v>8338</v>
      </c>
      <c r="B20" s="9"/>
      <c r="C20" s="9"/>
      <c r="D20" s="9">
        <v>60</v>
      </c>
      <c r="E20" s="9"/>
      <c r="F20" s="9">
        <v>60</v>
      </c>
    </row>
    <row r="21" spans="1:6" x14ac:dyDescent="0.2">
      <c r="A21" s="8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8341</v>
      </c>
      <c r="B23" s="9"/>
      <c r="C23" s="9"/>
      <c r="D23" s="9">
        <v>40</v>
      </c>
      <c r="E23" s="9"/>
      <c r="F23" s="9">
        <v>40</v>
      </c>
    </row>
    <row r="24" spans="1:6" x14ac:dyDescent="0.2">
      <c r="A24" s="8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8345</v>
      </c>
      <c r="B27" s="9"/>
      <c r="C27" s="9"/>
      <c r="D27" s="9">
        <v>20</v>
      </c>
      <c r="E27" s="9"/>
      <c r="F27" s="9">
        <v>20</v>
      </c>
    </row>
    <row r="28" spans="1:6" x14ac:dyDescent="0.2">
      <c r="A28" s="8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8" t="s">
        <v>8347</v>
      </c>
      <c r="B29" s="9"/>
      <c r="C29" s="9"/>
      <c r="D29" s="9">
        <v>20</v>
      </c>
      <c r="E29" s="9"/>
      <c r="F29" s="9">
        <v>20</v>
      </c>
    </row>
    <row r="30" spans="1:6" x14ac:dyDescent="0.2">
      <c r="A30" s="8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2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8353</v>
      </c>
      <c r="B35" s="9"/>
      <c r="C35" s="9"/>
      <c r="D35" s="9"/>
      <c r="E35" s="9">
        <v>40</v>
      </c>
      <c r="F35" s="9">
        <v>40</v>
      </c>
    </row>
    <row r="36" spans="1:6" x14ac:dyDescent="0.2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8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8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8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8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8" t="s">
        <v>8364</v>
      </c>
      <c r="B46" s="9"/>
      <c r="C46" s="9"/>
      <c r="D46" s="9"/>
      <c r="E46" s="9">
        <v>20</v>
      </c>
      <c r="F46" s="9">
        <v>20</v>
      </c>
    </row>
    <row r="47" spans="1:6" x14ac:dyDescent="0.2">
      <c r="A47" s="8" t="s">
        <v>8321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6258D-0AF2-374D-963F-AEBD347F477C}">
  <dimension ref="A1:E18"/>
  <sheetViews>
    <sheetView workbookViewId="0">
      <selection activeCell="B30" sqref="B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8308</v>
      </c>
      <c r="B1" t="s">
        <v>8310</v>
      </c>
    </row>
    <row r="2" spans="1:5" x14ac:dyDescent="0.2">
      <c r="A2" s="7" t="s">
        <v>8379</v>
      </c>
      <c r="B2" t="s">
        <v>8310</v>
      </c>
    </row>
    <row r="4" spans="1:5" x14ac:dyDescent="0.2">
      <c r="A4" s="7" t="s">
        <v>8323</v>
      </c>
      <c r="B4" s="7" t="s">
        <v>8322</v>
      </c>
    </row>
    <row r="5" spans="1:5" x14ac:dyDescent="0.2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12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2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2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2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2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2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2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2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2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2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2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2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2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C785C-481B-EE47-AC48-F1490F7EF89D}">
  <dimension ref="A1:O14"/>
  <sheetViews>
    <sheetView zoomScale="130" zoomScaleNormal="130" workbookViewId="0">
      <selection activeCell="G7" sqref="G7"/>
    </sheetView>
  </sheetViews>
  <sheetFormatPr baseColWidth="10" defaultRowHeight="15" x14ac:dyDescent="0.2"/>
  <cols>
    <col min="1" max="1" width="34.83203125" customWidth="1"/>
    <col min="2" max="2" width="9.5" style="9" customWidth="1"/>
    <col min="3" max="4" width="8.5" style="9" customWidth="1"/>
    <col min="5" max="5" width="5.83203125" style="9" customWidth="1"/>
    <col min="6" max="6" width="8.33203125" style="9" customWidth="1"/>
    <col min="7" max="7" width="19" customWidth="1"/>
    <col min="8" max="8" width="14.6640625" customWidth="1"/>
    <col min="9" max="9" width="16.83203125" style="9" customWidth="1"/>
    <col min="10" max="10" width="16.1640625" customWidth="1"/>
    <col min="11" max="11" width="19" customWidth="1"/>
    <col min="12" max="12" width="20.1640625" customWidth="1"/>
    <col min="13" max="13" width="19" customWidth="1"/>
  </cols>
  <sheetData>
    <row r="1" spans="1:15" x14ac:dyDescent="0.2">
      <c r="A1" s="13" t="s">
        <v>8380</v>
      </c>
      <c r="B1" s="14"/>
      <c r="C1" s="14"/>
      <c r="D1" s="14"/>
      <c r="E1" s="14"/>
      <c r="F1" s="14"/>
      <c r="G1" s="13" t="s">
        <v>8381</v>
      </c>
      <c r="H1" s="13" t="s">
        <v>8382</v>
      </c>
      <c r="I1" s="14" t="s">
        <v>8383</v>
      </c>
      <c r="J1" s="13" t="s">
        <v>8384</v>
      </c>
      <c r="K1" s="13" t="s">
        <v>8385</v>
      </c>
      <c r="L1" s="13" t="s">
        <v>8386</v>
      </c>
      <c r="M1" s="13" t="s">
        <v>8387</v>
      </c>
      <c r="N1" s="13"/>
      <c r="O1" s="13"/>
    </row>
    <row r="2" spans="1:15" x14ac:dyDescent="0.2">
      <c r="A2" t="s">
        <v>8388</v>
      </c>
      <c r="C2" s="9" t="s">
        <v>8400</v>
      </c>
      <c r="D2" s="9" t="s">
        <v>8219</v>
      </c>
      <c r="E2" s="15" t="s">
        <v>8221</v>
      </c>
      <c r="F2" s="15" t="s">
        <v>8220</v>
      </c>
      <c r="G2">
        <f>COUNTIFS(goal,$C2,state,D$2)</f>
        <v>322</v>
      </c>
      <c r="H2">
        <f>COUNTIFS(goal,$C2,state,E$2)</f>
        <v>113</v>
      </c>
      <c r="I2">
        <f>COUNTIFS(goal,$C2,state,F$2)</f>
        <v>18</v>
      </c>
      <c r="J2" s="9">
        <f>SUM(G2:I2)</f>
        <v>453</v>
      </c>
      <c r="K2" s="17">
        <f>G2/$J2</f>
        <v>0.71081677704194257</v>
      </c>
      <c r="L2" s="17">
        <f t="shared" ref="L2:M13" si="0">H2/$J2</f>
        <v>0.24944812362030905</v>
      </c>
      <c r="M2" s="17">
        <f t="shared" si="0"/>
        <v>3.9735099337748346E-2</v>
      </c>
    </row>
    <row r="3" spans="1:15" x14ac:dyDescent="0.2">
      <c r="A3" t="s">
        <v>8389</v>
      </c>
      <c r="B3" s="9" t="s">
        <v>8401</v>
      </c>
      <c r="C3" s="15" t="s">
        <v>8402</v>
      </c>
      <c r="D3" s="15"/>
      <c r="E3" s="15"/>
      <c r="F3" s="15"/>
      <c r="G3">
        <f t="shared" ref="G3:G12" si="1">COUNTIFS(goal,$B3, goal, $C3,state,D$2)</f>
        <v>932</v>
      </c>
      <c r="H3">
        <f t="shared" ref="H3:H12" si="2">COUNTIFS(goal,$B3, goal, $C3,state,E$2)</f>
        <v>420</v>
      </c>
      <c r="I3">
        <f t="shared" ref="I3:I12" si="3">COUNTIFS(goal,$B3, goal, $C3,state,F$2)</f>
        <v>60</v>
      </c>
      <c r="J3" s="9">
        <f t="shared" ref="J3:J13" si="4">SUM(G3:I3)</f>
        <v>1412</v>
      </c>
      <c r="K3" s="17">
        <f t="shared" ref="K3:K13" si="5">G3/$J3</f>
        <v>0.66005665722379603</v>
      </c>
      <c r="L3" s="17">
        <f t="shared" si="0"/>
        <v>0.29745042492917845</v>
      </c>
      <c r="M3" s="17">
        <f t="shared" si="0"/>
        <v>4.2492917847025496E-2</v>
      </c>
    </row>
    <row r="4" spans="1:15" x14ac:dyDescent="0.2">
      <c r="A4" t="s">
        <v>8390</v>
      </c>
      <c r="B4" s="9" t="s">
        <v>8404</v>
      </c>
      <c r="C4" s="15" t="s">
        <v>8413</v>
      </c>
      <c r="E4" s="15"/>
      <c r="F4" s="15"/>
      <c r="G4">
        <f t="shared" si="1"/>
        <v>381</v>
      </c>
      <c r="H4">
        <f t="shared" si="2"/>
        <v>283</v>
      </c>
      <c r="I4">
        <f t="shared" si="3"/>
        <v>52</v>
      </c>
      <c r="J4" s="9">
        <f t="shared" si="4"/>
        <v>716</v>
      </c>
      <c r="K4" s="17">
        <f t="shared" si="5"/>
        <v>0.53212290502793291</v>
      </c>
      <c r="L4" s="17">
        <f t="shared" si="0"/>
        <v>0.39525139664804471</v>
      </c>
      <c r="M4" s="17">
        <f t="shared" si="0"/>
        <v>7.2625698324022353E-2</v>
      </c>
    </row>
    <row r="5" spans="1:15" x14ac:dyDescent="0.2">
      <c r="A5" t="s">
        <v>8391</v>
      </c>
      <c r="B5" s="9" t="s">
        <v>8405</v>
      </c>
      <c r="C5" s="15" t="s">
        <v>8414</v>
      </c>
      <c r="D5" s="15"/>
      <c r="E5" s="15"/>
      <c r="F5" s="15"/>
      <c r="G5">
        <f t="shared" si="1"/>
        <v>168</v>
      </c>
      <c r="H5">
        <f t="shared" si="2"/>
        <v>144</v>
      </c>
      <c r="I5">
        <f t="shared" si="3"/>
        <v>40</v>
      </c>
      <c r="J5" s="9">
        <f t="shared" si="4"/>
        <v>352</v>
      </c>
      <c r="K5" s="17">
        <f t="shared" si="5"/>
        <v>0.47727272727272729</v>
      </c>
      <c r="L5" s="17">
        <f t="shared" si="0"/>
        <v>0.40909090909090912</v>
      </c>
      <c r="M5" s="17">
        <f t="shared" si="0"/>
        <v>0.11363636363636363</v>
      </c>
    </row>
    <row r="6" spans="1:15" x14ac:dyDescent="0.2">
      <c r="A6" t="s">
        <v>8392</v>
      </c>
      <c r="B6" s="9" t="s">
        <v>8406</v>
      </c>
      <c r="C6" s="15" t="s">
        <v>8415</v>
      </c>
      <c r="D6" s="15"/>
      <c r="E6" s="15"/>
      <c r="F6" s="15"/>
      <c r="G6">
        <f t="shared" si="1"/>
        <v>94</v>
      </c>
      <c r="H6">
        <f t="shared" si="2"/>
        <v>90</v>
      </c>
      <c r="I6">
        <f t="shared" si="3"/>
        <v>17</v>
      </c>
      <c r="J6" s="9">
        <f t="shared" si="4"/>
        <v>201</v>
      </c>
      <c r="K6" s="17">
        <f t="shared" si="5"/>
        <v>0.46766169154228854</v>
      </c>
      <c r="L6" s="17">
        <f t="shared" si="0"/>
        <v>0.44776119402985076</v>
      </c>
      <c r="M6" s="17">
        <f t="shared" si="0"/>
        <v>8.45771144278607E-2</v>
      </c>
    </row>
    <row r="7" spans="1:15" x14ac:dyDescent="0.2">
      <c r="A7" t="s">
        <v>8393</v>
      </c>
      <c r="B7" s="9" t="s">
        <v>8407</v>
      </c>
      <c r="C7" s="15" t="s">
        <v>8416</v>
      </c>
      <c r="D7" s="15"/>
      <c r="E7" s="15"/>
      <c r="F7" s="15"/>
      <c r="G7">
        <f t="shared" si="1"/>
        <v>62</v>
      </c>
      <c r="H7">
        <f t="shared" si="2"/>
        <v>72</v>
      </c>
      <c r="I7">
        <f t="shared" si="3"/>
        <v>14</v>
      </c>
      <c r="J7" s="9">
        <f t="shared" si="4"/>
        <v>148</v>
      </c>
      <c r="K7" s="17">
        <f t="shared" si="5"/>
        <v>0.41891891891891891</v>
      </c>
      <c r="L7" s="17">
        <f t="shared" si="0"/>
        <v>0.48648648648648651</v>
      </c>
      <c r="M7" s="17">
        <f t="shared" si="0"/>
        <v>9.45945945945946E-2</v>
      </c>
    </row>
    <row r="8" spans="1:15" x14ac:dyDescent="0.2">
      <c r="A8" t="s">
        <v>8394</v>
      </c>
      <c r="B8" s="9" t="s">
        <v>8408</v>
      </c>
      <c r="C8" s="15" t="s">
        <v>8417</v>
      </c>
      <c r="D8" s="15"/>
      <c r="E8" s="15"/>
      <c r="F8" s="15"/>
      <c r="G8">
        <f t="shared" si="1"/>
        <v>55</v>
      </c>
      <c r="H8">
        <f t="shared" si="2"/>
        <v>64</v>
      </c>
      <c r="I8">
        <f t="shared" si="3"/>
        <v>18</v>
      </c>
      <c r="J8" s="9">
        <f t="shared" si="4"/>
        <v>137</v>
      </c>
      <c r="K8" s="17">
        <f t="shared" si="5"/>
        <v>0.40145985401459855</v>
      </c>
      <c r="L8" s="17">
        <f t="shared" si="0"/>
        <v>0.46715328467153283</v>
      </c>
      <c r="M8" s="17">
        <f t="shared" si="0"/>
        <v>0.13138686131386862</v>
      </c>
    </row>
    <row r="9" spans="1:15" x14ac:dyDescent="0.2">
      <c r="A9" t="s">
        <v>8395</v>
      </c>
      <c r="B9" s="9" t="s">
        <v>8409</v>
      </c>
      <c r="C9" s="15" t="s">
        <v>8418</v>
      </c>
      <c r="D9" s="15"/>
      <c r="E9" s="15"/>
      <c r="F9" s="15"/>
      <c r="G9">
        <f t="shared" si="1"/>
        <v>32</v>
      </c>
      <c r="H9">
        <f t="shared" si="2"/>
        <v>37</v>
      </c>
      <c r="I9">
        <f t="shared" si="3"/>
        <v>13</v>
      </c>
      <c r="J9" s="9">
        <f t="shared" si="4"/>
        <v>82</v>
      </c>
      <c r="K9" s="17">
        <f t="shared" si="5"/>
        <v>0.3902439024390244</v>
      </c>
      <c r="L9" s="17">
        <f t="shared" si="0"/>
        <v>0.45121951219512196</v>
      </c>
      <c r="M9" s="17">
        <f t="shared" si="0"/>
        <v>0.15853658536585366</v>
      </c>
    </row>
    <row r="10" spans="1:15" x14ac:dyDescent="0.2">
      <c r="A10" t="s">
        <v>8396</v>
      </c>
      <c r="B10" s="9" t="s">
        <v>8410</v>
      </c>
      <c r="C10" s="15" t="s">
        <v>8419</v>
      </c>
      <c r="D10" s="15"/>
      <c r="E10" s="15"/>
      <c r="F10" s="15"/>
      <c r="G10">
        <f t="shared" si="1"/>
        <v>26</v>
      </c>
      <c r="H10">
        <f t="shared" si="2"/>
        <v>22</v>
      </c>
      <c r="I10">
        <f t="shared" si="3"/>
        <v>7</v>
      </c>
      <c r="J10" s="9">
        <f t="shared" si="4"/>
        <v>55</v>
      </c>
      <c r="K10" s="17">
        <f t="shared" si="5"/>
        <v>0.47272727272727272</v>
      </c>
      <c r="L10" s="17">
        <f t="shared" si="0"/>
        <v>0.4</v>
      </c>
      <c r="M10" s="17">
        <f t="shared" si="0"/>
        <v>0.12727272727272726</v>
      </c>
    </row>
    <row r="11" spans="1:15" x14ac:dyDescent="0.2">
      <c r="A11" t="s">
        <v>8397</v>
      </c>
      <c r="B11" s="9" t="s">
        <v>8411</v>
      </c>
      <c r="C11" s="15" t="s">
        <v>8420</v>
      </c>
      <c r="D11" s="15"/>
      <c r="E11" s="15"/>
      <c r="F11" s="15"/>
      <c r="G11">
        <f t="shared" si="1"/>
        <v>21</v>
      </c>
      <c r="H11">
        <f t="shared" si="2"/>
        <v>16</v>
      </c>
      <c r="I11">
        <f t="shared" si="3"/>
        <v>6</v>
      </c>
      <c r="J11" s="9">
        <f t="shared" si="4"/>
        <v>43</v>
      </c>
      <c r="K11" s="17">
        <f t="shared" si="5"/>
        <v>0.48837209302325579</v>
      </c>
      <c r="L11" s="17">
        <f t="shared" si="0"/>
        <v>0.37209302325581395</v>
      </c>
      <c r="M11" s="17">
        <f t="shared" si="0"/>
        <v>0.13953488372093023</v>
      </c>
    </row>
    <row r="12" spans="1:15" x14ac:dyDescent="0.2">
      <c r="A12" t="s">
        <v>8398</v>
      </c>
      <c r="B12" s="9" t="s">
        <v>8412</v>
      </c>
      <c r="C12" s="15" t="s">
        <v>8421</v>
      </c>
      <c r="D12" s="15"/>
      <c r="E12" s="15"/>
      <c r="F12" s="15"/>
      <c r="G12">
        <f t="shared" si="1"/>
        <v>6</v>
      </c>
      <c r="H12">
        <f t="shared" si="2"/>
        <v>11</v>
      </c>
      <c r="I12">
        <f t="shared" si="3"/>
        <v>4</v>
      </c>
      <c r="J12" s="9">
        <f t="shared" si="4"/>
        <v>21</v>
      </c>
      <c r="K12" s="17">
        <f t="shared" si="5"/>
        <v>0.2857142857142857</v>
      </c>
      <c r="L12" s="17">
        <f t="shared" si="0"/>
        <v>0.52380952380952384</v>
      </c>
      <c r="M12" s="17">
        <f t="shared" si="0"/>
        <v>0.19047619047619047</v>
      </c>
    </row>
    <row r="13" spans="1:15" x14ac:dyDescent="0.2">
      <c r="A13" t="s">
        <v>8399</v>
      </c>
      <c r="B13" s="9" t="s">
        <v>8403</v>
      </c>
      <c r="C13" s="15"/>
      <c r="D13" s="15"/>
      <c r="E13" s="15"/>
      <c r="F13" s="15"/>
      <c r="G13">
        <f>COUNTIFS(goal,$B13,state,D$2)</f>
        <v>86</v>
      </c>
      <c r="H13">
        <f>COUNTIFS(goal,$B13,state,E$2)</f>
        <v>258</v>
      </c>
      <c r="I13">
        <f>COUNTIFS(goal,$B13,state,F$2)</f>
        <v>100</v>
      </c>
      <c r="J13" s="9">
        <f t="shared" si="4"/>
        <v>444</v>
      </c>
      <c r="K13" s="17">
        <f t="shared" si="5"/>
        <v>0.19369369369369369</v>
      </c>
      <c r="L13" s="17">
        <f t="shared" si="0"/>
        <v>0.58108108108108103</v>
      </c>
      <c r="M13" s="17">
        <f t="shared" si="0"/>
        <v>0.22522522522522523</v>
      </c>
    </row>
    <row r="14" spans="1:15" x14ac:dyDescent="0.2">
      <c r="C14" s="15"/>
      <c r="D14" s="15"/>
      <c r="E14" s="15"/>
      <c r="F14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600A6-E327-8D4C-830B-DCEDE685EE93}">
  <dimension ref="A1:J13"/>
  <sheetViews>
    <sheetView tabSelected="1" workbookViewId="0">
      <selection activeCell="L34" sqref="L34"/>
    </sheetView>
  </sheetViews>
  <sheetFormatPr baseColWidth="10" defaultRowHeight="15" x14ac:dyDescent="0.2"/>
  <cols>
    <col min="1" max="1" width="34.83203125" customWidth="1"/>
    <col min="2" max="2" width="19" customWidth="1"/>
    <col min="3" max="3" width="14.6640625" customWidth="1"/>
    <col min="4" max="4" width="16.83203125" style="9" customWidth="1"/>
    <col min="5" max="5" width="16.1640625" customWidth="1"/>
    <col min="6" max="6" width="19" customWidth="1"/>
    <col min="7" max="7" width="20.1640625" customWidth="1"/>
    <col min="8" max="8" width="19" customWidth="1"/>
  </cols>
  <sheetData>
    <row r="1" spans="1:10" x14ac:dyDescent="0.2">
      <c r="A1" s="13" t="s">
        <v>8380</v>
      </c>
      <c r="B1" s="13" t="s">
        <v>8381</v>
      </c>
      <c r="C1" s="13" t="s">
        <v>8382</v>
      </c>
      <c r="D1" s="14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  <c r="I1" s="13"/>
      <c r="J1" s="13"/>
    </row>
    <row r="2" spans="1:10" x14ac:dyDescent="0.2">
      <c r="A2" t="s">
        <v>8388</v>
      </c>
      <c r="B2">
        <f>COUNTIFS(goal,"&lt;1000",state,"successful")</f>
        <v>322</v>
      </c>
      <c r="C2">
        <f>COUNTIFS(goal,"&lt;1000",state,"failed")</f>
        <v>113</v>
      </c>
      <c r="D2" s="16">
        <f>COUNTIFS(goal,"&lt;1000",state,"canceled")</f>
        <v>18</v>
      </c>
      <c r="E2" s="9">
        <f>SUM(B2:D2)</f>
        <v>453</v>
      </c>
      <c r="F2" s="17">
        <f>B2/$E2</f>
        <v>0.71081677704194257</v>
      </c>
      <c r="G2" s="17">
        <f t="shared" ref="G2:H13" si="0">C2/$E2</f>
        <v>0.24944812362030905</v>
      </c>
      <c r="H2" s="17">
        <f t="shared" si="0"/>
        <v>3.9735099337748346E-2</v>
      </c>
    </row>
    <row r="3" spans="1:10" x14ac:dyDescent="0.2">
      <c r="A3" t="s">
        <v>8389</v>
      </c>
      <c r="B3">
        <f>COUNTIFS(goal,"&gt;=1000", goal, "&lt;=4999",state,"successful")</f>
        <v>932</v>
      </c>
      <c r="C3">
        <f>COUNTIFS(goal,"&gt;=1000", goal, "&lt;=4999",state,"failed")</f>
        <v>420</v>
      </c>
      <c r="D3">
        <f>COUNTIFS(goal,"&gt;=1000", goal, "&lt;=4999",state,"canceled")</f>
        <v>60</v>
      </c>
      <c r="E3" s="9">
        <f t="shared" ref="E3:E13" si="1">SUM(B3:D3)</f>
        <v>1412</v>
      </c>
      <c r="F3" s="17">
        <f t="shared" ref="F3:F13" si="2">B3/$E3</f>
        <v>0.66005665722379603</v>
      </c>
      <c r="G3" s="17">
        <f t="shared" si="0"/>
        <v>0.29745042492917845</v>
      </c>
      <c r="H3" s="17">
        <f t="shared" si="0"/>
        <v>4.2492917847025496E-2</v>
      </c>
    </row>
    <row r="4" spans="1:10" x14ac:dyDescent="0.2">
      <c r="A4" t="s">
        <v>8390</v>
      </c>
      <c r="B4">
        <f>COUNTIFS(goal,"&gt;=5000", goal, "&lt;=9999",state,"successful")</f>
        <v>381</v>
      </c>
      <c r="C4">
        <f>COUNTIFS(goal,"&gt;=5000", goal, "&lt;=9999",state,"failed")</f>
        <v>283</v>
      </c>
      <c r="D4">
        <f>COUNTIFS(goal,"&gt;=5000", goal, "&lt;=9999",state,"canceled")</f>
        <v>52</v>
      </c>
      <c r="E4" s="9">
        <f t="shared" si="1"/>
        <v>716</v>
      </c>
      <c r="F4" s="17">
        <f t="shared" si="2"/>
        <v>0.53212290502793291</v>
      </c>
      <c r="G4" s="17">
        <f t="shared" si="0"/>
        <v>0.39525139664804471</v>
      </c>
      <c r="H4" s="17">
        <f t="shared" si="0"/>
        <v>7.2625698324022353E-2</v>
      </c>
    </row>
    <row r="5" spans="1:10" x14ac:dyDescent="0.2">
      <c r="A5" t="s">
        <v>8391</v>
      </c>
      <c r="B5">
        <f>COUNTIFS(goal,"&gt;=10000", goal, "&lt;=14999",state,"successful")</f>
        <v>168</v>
      </c>
      <c r="C5">
        <f>COUNTIFS(goal,"&gt;=10000", goal, "&lt;=14999",state,"failed")</f>
        <v>144</v>
      </c>
      <c r="D5">
        <f>COUNTIFS(goal,"&gt;=10000", goal, "&lt;=14999",state,"canceled")</f>
        <v>40</v>
      </c>
      <c r="E5" s="9">
        <f t="shared" si="1"/>
        <v>352</v>
      </c>
      <c r="F5" s="17">
        <f t="shared" si="2"/>
        <v>0.47727272727272729</v>
      </c>
      <c r="G5" s="17">
        <f t="shared" si="0"/>
        <v>0.40909090909090912</v>
      </c>
      <c r="H5" s="17">
        <f t="shared" si="0"/>
        <v>0.11363636363636363</v>
      </c>
    </row>
    <row r="6" spans="1:10" x14ac:dyDescent="0.2">
      <c r="A6" t="s">
        <v>8392</v>
      </c>
      <c r="B6">
        <f>COUNTIFS(goal,"&gt;=15000", goal, "&lt;=19999",state,"successful")</f>
        <v>94</v>
      </c>
      <c r="C6">
        <f>COUNTIFS(goal,"&gt;=15000", goal, "&lt;=19999",state,"failed")</f>
        <v>90</v>
      </c>
      <c r="D6">
        <f>COUNTIFS(goal,"&gt;=15000", goal, "&lt;=19999",state,"canceled")</f>
        <v>17</v>
      </c>
      <c r="E6" s="9">
        <f t="shared" si="1"/>
        <v>201</v>
      </c>
      <c r="F6" s="17">
        <f t="shared" si="2"/>
        <v>0.46766169154228854</v>
      </c>
      <c r="G6" s="17">
        <f t="shared" si="0"/>
        <v>0.44776119402985076</v>
      </c>
      <c r="H6" s="17">
        <f t="shared" si="0"/>
        <v>8.45771144278607E-2</v>
      </c>
    </row>
    <row r="7" spans="1:10" x14ac:dyDescent="0.2">
      <c r="A7" t="s">
        <v>8393</v>
      </c>
      <c r="B7">
        <f>COUNTIFS(goal,"&gt;=20000", goal, "&lt;=24999", state,"successful")</f>
        <v>62</v>
      </c>
      <c r="C7">
        <f>COUNTIFS(goal,"&gt;=20000", goal, "&lt;=24999", state,"failed")</f>
        <v>72</v>
      </c>
      <c r="D7">
        <f>COUNTIFS(goal,"&gt;=20000", goal, "&lt;=24999", state,"canceled")</f>
        <v>14</v>
      </c>
      <c r="E7" s="9">
        <f t="shared" si="1"/>
        <v>148</v>
      </c>
      <c r="F7" s="17">
        <f t="shared" si="2"/>
        <v>0.41891891891891891</v>
      </c>
      <c r="G7" s="17">
        <f t="shared" si="0"/>
        <v>0.48648648648648651</v>
      </c>
      <c r="H7" s="17">
        <f t="shared" si="0"/>
        <v>9.45945945945946E-2</v>
      </c>
    </row>
    <row r="8" spans="1:10" x14ac:dyDescent="0.2">
      <c r="A8" t="s">
        <v>8394</v>
      </c>
      <c r="B8">
        <f>COUNTIFS(goal,"&gt;=25000", goal, "&lt;=29999", state,"successful")</f>
        <v>55</v>
      </c>
      <c r="C8">
        <f>COUNTIFS(goal,"&gt;=25000", goal, "&lt;=29999", state,"failed")</f>
        <v>64</v>
      </c>
      <c r="D8">
        <f>COUNTIFS(goal,"&gt;=25000", goal, "&lt;=29999", state,"canceled")</f>
        <v>18</v>
      </c>
      <c r="E8" s="9">
        <f t="shared" si="1"/>
        <v>137</v>
      </c>
      <c r="F8" s="17">
        <f t="shared" si="2"/>
        <v>0.40145985401459855</v>
      </c>
      <c r="G8" s="17">
        <f t="shared" si="0"/>
        <v>0.46715328467153283</v>
      </c>
      <c r="H8" s="17">
        <f t="shared" si="0"/>
        <v>0.13138686131386862</v>
      </c>
    </row>
    <row r="9" spans="1:10" x14ac:dyDescent="0.2">
      <c r="A9" t="s">
        <v>8395</v>
      </c>
      <c r="B9">
        <f>COUNTIFS(goal,"&gt;=30000", goal, "&lt;=34999", state,"successful")</f>
        <v>32</v>
      </c>
      <c r="C9">
        <f>COUNTIFS(goal,"&gt;=30000", goal, "&lt;=34999", state,"failed")</f>
        <v>37</v>
      </c>
      <c r="D9">
        <f>COUNTIFS(goal,"&gt;=30000", goal, "&lt;=34999", state,"canceled")</f>
        <v>13</v>
      </c>
      <c r="E9" s="9">
        <f t="shared" si="1"/>
        <v>82</v>
      </c>
      <c r="F9" s="17">
        <f t="shared" si="2"/>
        <v>0.3902439024390244</v>
      </c>
      <c r="G9" s="17">
        <f t="shared" si="0"/>
        <v>0.45121951219512196</v>
      </c>
      <c r="H9" s="17">
        <f t="shared" si="0"/>
        <v>0.15853658536585366</v>
      </c>
    </row>
    <row r="10" spans="1:10" x14ac:dyDescent="0.2">
      <c r="A10" t="s">
        <v>8396</v>
      </c>
      <c r="B10">
        <f>COUNTIFS(goal,"&gt;=35000", goal, "&lt;=39999", state,"successful")</f>
        <v>26</v>
      </c>
      <c r="C10">
        <f>COUNTIFS(goal,"&gt;=35000", goal, "&lt;=39999", state,"failed")</f>
        <v>22</v>
      </c>
      <c r="D10">
        <f>COUNTIFS(goal,"&gt;=35000", goal, "&lt;=39999", state,"canceled")</f>
        <v>7</v>
      </c>
      <c r="E10" s="9">
        <f t="shared" si="1"/>
        <v>55</v>
      </c>
      <c r="F10" s="17">
        <f t="shared" si="2"/>
        <v>0.47272727272727272</v>
      </c>
      <c r="G10" s="17">
        <f t="shared" si="0"/>
        <v>0.4</v>
      </c>
      <c r="H10" s="17">
        <f t="shared" si="0"/>
        <v>0.12727272727272726</v>
      </c>
    </row>
    <row r="11" spans="1:10" x14ac:dyDescent="0.2">
      <c r="A11" t="s">
        <v>8397</v>
      </c>
      <c r="B11">
        <f>COUNTIFS(goal,"&gt;=40000", goal, "&lt;=44999", state,"successful")</f>
        <v>21</v>
      </c>
      <c r="C11">
        <f>COUNTIFS(goal,"&gt;=40000", goal, "&lt;=44999", state,"failed")</f>
        <v>16</v>
      </c>
      <c r="D11">
        <f>COUNTIFS(goal,"&gt;=40000", goal, "&lt;=44999", state,"canceled")</f>
        <v>6</v>
      </c>
      <c r="E11" s="9">
        <f t="shared" si="1"/>
        <v>43</v>
      </c>
      <c r="F11" s="17">
        <f t="shared" si="2"/>
        <v>0.48837209302325579</v>
      </c>
      <c r="G11" s="17">
        <f t="shared" si="0"/>
        <v>0.37209302325581395</v>
      </c>
      <c r="H11" s="17">
        <f t="shared" si="0"/>
        <v>0.13953488372093023</v>
      </c>
    </row>
    <row r="12" spans="1:10" x14ac:dyDescent="0.2">
      <c r="A12" t="s">
        <v>8398</v>
      </c>
      <c r="B12">
        <f>COUNTIFS(goal,"&gt;=45000", goal, "&lt;=49999", state,"successful")</f>
        <v>6</v>
      </c>
      <c r="C12">
        <f>COUNTIFS(goal,"&gt;=45000", goal, "&lt;=49999", state,"failed")</f>
        <v>11</v>
      </c>
      <c r="D12">
        <f>COUNTIFS(goal,"&gt;=45000", goal, "&lt;=49999", state,"canceled")</f>
        <v>4</v>
      </c>
      <c r="E12" s="9">
        <f t="shared" si="1"/>
        <v>21</v>
      </c>
      <c r="F12" s="17">
        <f t="shared" si="2"/>
        <v>0.2857142857142857</v>
      </c>
      <c r="G12" s="17">
        <f t="shared" si="0"/>
        <v>0.52380952380952384</v>
      </c>
      <c r="H12" s="17">
        <f t="shared" si="0"/>
        <v>0.19047619047619047</v>
      </c>
    </row>
    <row r="13" spans="1:10" x14ac:dyDescent="0.2">
      <c r="A13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 s="9">
        <f t="shared" si="1"/>
        <v>444</v>
      </c>
      <c r="F13" s="17">
        <f t="shared" si="2"/>
        <v>0.19369369369369369</v>
      </c>
      <c r="G13" s="17">
        <f t="shared" si="0"/>
        <v>0.58108108108108103</v>
      </c>
      <c r="H13" s="17">
        <f t="shared" si="0"/>
        <v>0.22522522522522523</v>
      </c>
    </row>
  </sheetData>
  <pageMargins left="0.7" right="0.7" top="0.75" bottom="0.75" header="0.3" footer="0.3"/>
  <ignoredErrors>
    <ignoredError sqref="C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 1</vt:lpstr>
      <vt:lpstr>Pivot 2</vt:lpstr>
      <vt:lpstr>Pivot 3</vt:lpstr>
      <vt:lpstr>Bonus v1</vt:lpstr>
      <vt:lpstr>Bonus v2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2019-07-22T20:54:58Z</dcterms:modified>
</cp:coreProperties>
</file>