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tthew.A.Wechsler\Documents\2. Projects\Build the Force\BTF Facilitation\BtF Latest\"/>
    </mc:Choice>
  </mc:AlternateContent>
  <bookViews>
    <workbookView xWindow="0" yWindow="468" windowWidth="28800" windowHeight="12036"/>
  </bookViews>
  <sheets>
    <sheet name="Wargame Calculator" sheetId="3" r:id="rId1"/>
    <sheet name="Readiness Events" sheetId="12" state="hidden" r:id="rId2"/>
    <sheet name="Meet Priority Force Reqt" sheetId="8" state="hidden" r:id="rId3"/>
    <sheet name="1d6 Rolls" sheetId="7" state="hidden" r:id="rId4"/>
    <sheet name="Lists_Parameters" sheetId="5" state="hidden" r:id="rId5"/>
    <sheet name="Crisis Scenario Data" sheetId="2" state="hidden" r:id="rId6"/>
    <sheet name="Tables for Printing" sheetId="1" state="hidden" r:id="rId7"/>
    <sheet name="For BTF" sheetId="11" state="hidden" r:id="rId8"/>
    <sheet name="Crisis Probability Calc" sheetId="6" state="hidden" r:id="rId9"/>
  </sheets>
  <externalReferences>
    <externalReference r:id="rId10"/>
  </externalReferences>
  <definedNames>
    <definedName name="_xlnm._FilterDatabase" localSheetId="7" hidden="1">'For BTF'!$A$1:$R$50</definedName>
    <definedName name="No">Lists_Parameters!$H$13:$H$17</definedName>
    <definedName name="Num_RD_Retries">'Wargame Calculator'!$E$19</definedName>
    <definedName name="Round_1">Lists_Parameters!$D$13:$D$14</definedName>
    <definedName name="Round_1_2">Lists_Parameters!$E$13:$E$15</definedName>
    <definedName name="Round_1_3">Lists_Parameters!$F$13:$F$16</definedName>
    <definedName name="Scenario_Names">Lists_Parameters!$M$13:$M$18</definedName>
    <definedName name="Select_Expedite">'Wargame Calculator'!$E$18</definedName>
    <definedName name="Select_Risk_Level">'Wargame Calculator'!$E$17</definedName>
    <definedName name="Select_Tech_Level">'Wargame Calculator'!$E$16</definedName>
    <definedName name="T_ForceStructure" localSheetId="7">'For BTF'!$A$1:$R$50</definedName>
    <definedName name="Target_Tech_Level">Lists_Parameters!$C$13:$C$15</definedName>
    <definedName name="Tech_Level">Lists_Parameters!$B$13:$B$16</definedName>
    <definedName name="VP_Conditions">Lists_Parameters!$Q$13:$Q$15</definedName>
    <definedName name="Yes">Lists_Parameters!$U$13:$U$15</definedName>
    <definedName name="Yes_No">Lists_Parameters!$L$13:$L$14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 i="3" l="1"/>
  <c r="G6" i="3" s="1"/>
  <c r="S39" i="3" l="1"/>
  <c r="M77" i="3"/>
  <c r="M78" i="3"/>
  <c r="M129" i="3" s="1"/>
  <c r="R39" i="3"/>
  <c r="S62" i="5" l="1"/>
  <c r="S63" i="5"/>
  <c r="BJ54" i="1" s="1"/>
  <c r="S64" i="5"/>
  <c r="S65" i="5"/>
  <c r="S66" i="5"/>
  <c r="S67" i="5"/>
  <c r="BJ58" i="1" s="1"/>
  <c r="S68" i="5"/>
  <c r="BJ59" i="1" s="1"/>
  <c r="S69" i="5"/>
  <c r="BJ60" i="1" s="1"/>
  <c r="S70" i="5"/>
  <c r="S71" i="5"/>
  <c r="S61" i="5"/>
  <c r="BI52" i="1"/>
  <c r="BJ52" i="1"/>
  <c r="BI53" i="1"/>
  <c r="BJ53" i="1"/>
  <c r="BI54" i="1"/>
  <c r="BI55" i="1"/>
  <c r="BJ55" i="1"/>
  <c r="BI56" i="1"/>
  <c r="BJ56" i="1"/>
  <c r="BI57" i="1"/>
  <c r="BJ57" i="1"/>
  <c r="BI58" i="1"/>
  <c r="BI59" i="1"/>
  <c r="BI60" i="1"/>
  <c r="BI61" i="1"/>
  <c r="BJ61" i="1"/>
  <c r="BH53" i="1"/>
  <c r="BH54" i="1"/>
  <c r="BH55" i="1"/>
  <c r="BH56" i="1"/>
  <c r="BH57" i="1"/>
  <c r="BH58" i="1"/>
  <c r="BH59" i="1"/>
  <c r="BH60" i="1"/>
  <c r="BH61" i="1"/>
  <c r="BH52" i="1"/>
  <c r="P120" i="3" l="1"/>
  <c r="R120" i="3" s="1"/>
  <c r="P119" i="3"/>
  <c r="R119" i="3" s="1"/>
  <c r="P118" i="3"/>
  <c r="R118" i="3" s="1"/>
  <c r="P117" i="3"/>
  <c r="R117" i="3" s="1"/>
  <c r="P69" i="3"/>
  <c r="R69" i="3" s="1"/>
  <c r="P68" i="3"/>
  <c r="R68" i="3" s="1"/>
  <c r="P67" i="3"/>
  <c r="R67" i="3" s="1"/>
  <c r="P66" i="3"/>
  <c r="R66" i="3" s="1"/>
  <c r="Q39" i="3" l="1"/>
  <c r="R121" i="3"/>
  <c r="M6" i="3" s="1"/>
  <c r="R70" i="3"/>
  <c r="L6" i="3" s="1"/>
  <c r="P17" i="3"/>
  <c r="R17" i="3" s="1"/>
  <c r="P18" i="3"/>
  <c r="R18" i="3" s="1"/>
  <c r="P19" i="3"/>
  <c r="R19" i="3" s="1"/>
  <c r="P16" i="3"/>
  <c r="R16" i="3" s="1"/>
  <c r="R20" i="3" l="1"/>
  <c r="K6" i="3" s="1"/>
  <c r="O19" i="3"/>
  <c r="O18" i="3"/>
  <c r="H1" i="3"/>
  <c r="O17" i="3"/>
  <c r="O16" i="3"/>
  <c r="Q51" i="5"/>
  <c r="R51" i="5"/>
  <c r="E4" i="1" s="1"/>
  <c r="Q52" i="5"/>
  <c r="R52" i="5"/>
  <c r="E5" i="1" s="1"/>
  <c r="Q53" i="5"/>
  <c r="R53" i="5" s="1"/>
  <c r="E6" i="1" s="1"/>
  <c r="Q54" i="5"/>
  <c r="R54" i="5" s="1"/>
  <c r="E7" i="1" s="1"/>
  <c r="Q55" i="5"/>
  <c r="R55" i="5"/>
  <c r="E8" i="1" s="1"/>
  <c r="Q56" i="5"/>
  <c r="R56" i="5"/>
  <c r="E9" i="1" s="1"/>
  <c r="Q57" i="5"/>
  <c r="R57" i="5" s="1"/>
  <c r="E10" i="1" s="1"/>
  <c r="Q58" i="5"/>
  <c r="R58" i="5" s="1"/>
  <c r="E11" i="1" s="1"/>
  <c r="N50" i="11"/>
  <c r="L50" i="11"/>
  <c r="J50" i="11"/>
  <c r="F50" i="11"/>
  <c r="N49" i="11"/>
  <c r="L49" i="11"/>
  <c r="J49" i="11"/>
  <c r="F49" i="11"/>
  <c r="N48" i="11"/>
  <c r="L48" i="11"/>
  <c r="J48" i="11"/>
  <c r="F48" i="11"/>
  <c r="N47" i="11"/>
  <c r="L47" i="11"/>
  <c r="J47" i="11"/>
  <c r="F47" i="11"/>
  <c r="N46" i="11"/>
  <c r="M46" i="11"/>
  <c r="P46" i="11" s="1"/>
  <c r="L46" i="11"/>
  <c r="K46" i="11"/>
  <c r="J46" i="11"/>
  <c r="I46" i="11"/>
  <c r="H46" i="11"/>
  <c r="G46" i="11"/>
  <c r="F46" i="11"/>
  <c r="M45" i="11"/>
  <c r="P45" i="11" s="1"/>
  <c r="L45" i="11"/>
  <c r="K45" i="11"/>
  <c r="J45" i="11"/>
  <c r="I45" i="11"/>
  <c r="H45" i="11"/>
  <c r="G45" i="11"/>
  <c r="F45" i="11"/>
  <c r="O44" i="11"/>
  <c r="N44" i="11"/>
  <c r="M44" i="11"/>
  <c r="L44" i="11"/>
  <c r="K44" i="11"/>
  <c r="J44" i="11"/>
  <c r="O43" i="11"/>
  <c r="N43" i="11"/>
  <c r="M43" i="11"/>
  <c r="L43" i="11"/>
  <c r="K43" i="11"/>
  <c r="J43" i="11"/>
  <c r="O42" i="11"/>
  <c r="N42" i="11"/>
  <c r="M42" i="11"/>
  <c r="L42" i="11"/>
  <c r="K42" i="11"/>
  <c r="J42" i="11"/>
  <c r="O41" i="11"/>
  <c r="N41" i="11"/>
  <c r="M41" i="11"/>
  <c r="L41" i="11"/>
  <c r="K41" i="11"/>
  <c r="J41" i="11"/>
  <c r="O40" i="11"/>
  <c r="N40" i="11"/>
  <c r="M40" i="11"/>
  <c r="L40" i="11"/>
  <c r="K40" i="11"/>
  <c r="J40" i="11"/>
  <c r="O39" i="11"/>
  <c r="N39" i="11"/>
  <c r="M39" i="11"/>
  <c r="L39" i="11"/>
  <c r="K39" i="11"/>
  <c r="J39" i="11"/>
  <c r="O38" i="11"/>
  <c r="N38" i="11"/>
  <c r="M38" i="11"/>
  <c r="L38" i="11"/>
  <c r="K38" i="11"/>
  <c r="J38" i="11"/>
  <c r="O37" i="11"/>
  <c r="N37" i="11"/>
  <c r="M37" i="11"/>
  <c r="L37" i="11"/>
  <c r="K37" i="11"/>
  <c r="J37" i="11"/>
  <c r="O36" i="11"/>
  <c r="N36" i="11"/>
  <c r="M36" i="11"/>
  <c r="L36" i="11"/>
  <c r="K36" i="11"/>
  <c r="J36" i="11"/>
  <c r="O35" i="11"/>
  <c r="N35" i="11"/>
  <c r="M35" i="11"/>
  <c r="L35" i="11"/>
  <c r="K35" i="11"/>
  <c r="J35" i="11"/>
  <c r="O34" i="11"/>
  <c r="N34" i="11"/>
  <c r="M34" i="11"/>
  <c r="L34" i="11"/>
  <c r="K34" i="11"/>
  <c r="J34" i="11"/>
  <c r="O33" i="11"/>
  <c r="N33" i="11"/>
  <c r="M33" i="11"/>
  <c r="L33" i="11"/>
  <c r="K33" i="11"/>
  <c r="J33" i="11"/>
  <c r="O32" i="11"/>
  <c r="N32" i="11"/>
  <c r="M32" i="11"/>
  <c r="L32" i="11"/>
  <c r="K32" i="11"/>
  <c r="J32" i="11"/>
  <c r="O31" i="11"/>
  <c r="N31" i="11"/>
  <c r="M31" i="11"/>
  <c r="L31" i="11"/>
  <c r="K31" i="11"/>
  <c r="J31" i="11"/>
  <c r="O30" i="11"/>
  <c r="N30" i="11"/>
  <c r="M30" i="11"/>
  <c r="L30" i="11"/>
  <c r="K30" i="11"/>
  <c r="J30" i="11"/>
  <c r="O29" i="11"/>
  <c r="N29" i="11"/>
  <c r="M29" i="11"/>
  <c r="L29" i="11"/>
  <c r="K29" i="11"/>
  <c r="J29" i="11"/>
  <c r="O28" i="11"/>
  <c r="N28" i="11"/>
  <c r="M28" i="11"/>
  <c r="L28" i="11"/>
  <c r="K28" i="11"/>
  <c r="J28" i="11"/>
  <c r="M27" i="11"/>
  <c r="P27" i="11" s="1"/>
  <c r="L27" i="11"/>
  <c r="K27" i="11"/>
  <c r="J27" i="11"/>
  <c r="I27" i="11"/>
  <c r="H27" i="11"/>
  <c r="G27" i="11"/>
  <c r="F27" i="11"/>
  <c r="M26" i="11"/>
  <c r="P26" i="11" s="1"/>
  <c r="L26" i="11"/>
  <c r="K26" i="11"/>
  <c r="J26" i="11"/>
  <c r="I26" i="11"/>
  <c r="H26" i="11"/>
  <c r="G26" i="11"/>
  <c r="F26" i="11"/>
  <c r="M25" i="11"/>
  <c r="P25" i="11" s="1"/>
  <c r="L25" i="11"/>
  <c r="K25" i="11"/>
  <c r="J25" i="11"/>
  <c r="I25" i="11"/>
  <c r="H25" i="11"/>
  <c r="G25" i="11"/>
  <c r="F25" i="11"/>
  <c r="O24" i="11"/>
  <c r="N24" i="11"/>
  <c r="M24" i="11"/>
  <c r="L24" i="11"/>
  <c r="K24" i="11"/>
  <c r="J24" i="11"/>
  <c r="N23" i="11"/>
  <c r="M23" i="11"/>
  <c r="P23" i="11" s="1"/>
  <c r="L23" i="11"/>
  <c r="K23" i="11"/>
  <c r="J23" i="11"/>
  <c r="N22" i="11"/>
  <c r="M22" i="11"/>
  <c r="P22" i="11" s="1"/>
  <c r="L22" i="11"/>
  <c r="K22" i="11"/>
  <c r="J22" i="11"/>
  <c r="N21" i="11"/>
  <c r="M21" i="11"/>
  <c r="P21" i="11" s="1"/>
  <c r="L21" i="11"/>
  <c r="K21" i="11"/>
  <c r="J21" i="11"/>
  <c r="O20" i="11"/>
  <c r="M20" i="11"/>
  <c r="P20" i="11" s="1"/>
  <c r="L20" i="11"/>
  <c r="K20" i="11"/>
  <c r="J20" i="11"/>
  <c r="O19" i="11"/>
  <c r="M19" i="11"/>
  <c r="L19" i="11"/>
  <c r="K19" i="11"/>
  <c r="J19" i="11"/>
  <c r="O18" i="11"/>
  <c r="N18" i="11"/>
  <c r="M18" i="11"/>
  <c r="L18" i="11"/>
  <c r="K18" i="11"/>
  <c r="J18" i="11"/>
  <c r="O17" i="11"/>
  <c r="N17" i="11"/>
  <c r="M17" i="11"/>
  <c r="L17" i="11"/>
  <c r="K17" i="11"/>
  <c r="J17" i="11"/>
  <c r="O16" i="11"/>
  <c r="N16" i="11"/>
  <c r="M16" i="11"/>
  <c r="L16" i="11"/>
  <c r="K16" i="11"/>
  <c r="J16" i="11"/>
  <c r="O15" i="11"/>
  <c r="N15" i="11"/>
  <c r="M15" i="11"/>
  <c r="L15" i="11"/>
  <c r="K15" i="11"/>
  <c r="J15" i="11"/>
  <c r="O14" i="11"/>
  <c r="N14" i="11"/>
  <c r="M14" i="11"/>
  <c r="L14" i="11"/>
  <c r="K14" i="11"/>
  <c r="J14" i="11"/>
  <c r="O13" i="11"/>
  <c r="N13" i="11"/>
  <c r="M13" i="11"/>
  <c r="L13" i="11"/>
  <c r="K13" i="11"/>
  <c r="J13" i="11"/>
  <c r="O12" i="11"/>
  <c r="N12" i="11"/>
  <c r="M12" i="11"/>
  <c r="P12" i="11" s="1"/>
  <c r="L12" i="11"/>
  <c r="K12" i="11"/>
  <c r="J12" i="11"/>
  <c r="O11" i="11"/>
  <c r="M11" i="11"/>
  <c r="L11" i="11"/>
  <c r="K11" i="11"/>
  <c r="J11" i="11"/>
  <c r="M10" i="11"/>
  <c r="P10" i="11" s="1"/>
  <c r="L10" i="11"/>
  <c r="K10" i="11"/>
  <c r="J10" i="11"/>
  <c r="I10" i="11"/>
  <c r="H10" i="11"/>
  <c r="G10" i="11"/>
  <c r="F10" i="11"/>
  <c r="O9" i="11"/>
  <c r="N9" i="11"/>
  <c r="M9" i="11"/>
  <c r="D9" i="11" s="1"/>
  <c r="L9" i="11"/>
  <c r="K9" i="11"/>
  <c r="J9" i="11"/>
  <c r="O8" i="11"/>
  <c r="N8" i="11"/>
  <c r="M8" i="11"/>
  <c r="E8" i="11" s="1"/>
  <c r="E70" i="11" s="1"/>
  <c r="L8" i="11"/>
  <c r="K8" i="11"/>
  <c r="J8" i="11"/>
  <c r="O7" i="11"/>
  <c r="N7" i="11"/>
  <c r="M7" i="11"/>
  <c r="E7" i="11" s="1"/>
  <c r="L7" i="11"/>
  <c r="K7" i="11"/>
  <c r="J7" i="11"/>
  <c r="O6" i="11"/>
  <c r="N6" i="11"/>
  <c r="N45" i="11" s="1"/>
  <c r="M6" i="11"/>
  <c r="D6" i="11" s="1"/>
  <c r="L6" i="11"/>
  <c r="K6" i="11"/>
  <c r="J6" i="11"/>
  <c r="O5" i="11"/>
  <c r="N5" i="11"/>
  <c r="M5" i="11"/>
  <c r="E5" i="11" s="1"/>
  <c r="L5" i="11"/>
  <c r="K5" i="11"/>
  <c r="J5" i="11"/>
  <c r="O4" i="11"/>
  <c r="N4" i="11"/>
  <c r="M4" i="11"/>
  <c r="E4" i="11" s="1"/>
  <c r="E68" i="11" s="1"/>
  <c r="L4" i="11"/>
  <c r="K4" i="11"/>
  <c r="J4" i="11"/>
  <c r="O3" i="11"/>
  <c r="N3" i="11"/>
  <c r="M3" i="11"/>
  <c r="E58" i="11" s="1"/>
  <c r="F58" i="11" s="1"/>
  <c r="L3" i="11"/>
  <c r="K3" i="11"/>
  <c r="J3" i="11"/>
  <c r="O2" i="11"/>
  <c r="N2" i="11"/>
  <c r="M2" i="11"/>
  <c r="D2" i="11" s="1"/>
  <c r="L2" i="11"/>
  <c r="K2" i="11"/>
  <c r="J2" i="11"/>
  <c r="P5" i="11" l="1"/>
  <c r="P28" i="11"/>
  <c r="P32" i="11"/>
  <c r="P44" i="11"/>
  <c r="P2" i="11"/>
  <c r="P4" i="11"/>
  <c r="D4" i="11"/>
  <c r="P16" i="11"/>
  <c r="E2" i="11"/>
  <c r="E67" i="11" s="1"/>
  <c r="P24" i="11"/>
  <c r="P31" i="11"/>
  <c r="P43" i="11"/>
  <c r="P11" i="11"/>
  <c r="P19" i="11"/>
  <c r="O64" i="5"/>
  <c r="O68" i="5" s="1"/>
  <c r="M48" i="11"/>
  <c r="P48" i="11" s="1"/>
  <c r="M50" i="11"/>
  <c r="P50" i="11" s="1"/>
  <c r="P18" i="11"/>
  <c r="P14" i="11"/>
  <c r="P13" i="11"/>
  <c r="P17" i="11"/>
  <c r="E10" i="11"/>
  <c r="P30" i="11"/>
  <c r="P34" i="11"/>
  <c r="P38" i="11"/>
  <c r="P42" i="11"/>
  <c r="M47" i="11"/>
  <c r="P47" i="11" s="1"/>
  <c r="M49" i="11"/>
  <c r="P49" i="11" s="1"/>
  <c r="P9" i="11"/>
  <c r="P15" i="11"/>
  <c r="P29" i="11"/>
  <c r="P33" i="11"/>
  <c r="P3" i="11"/>
  <c r="P37" i="11"/>
  <c r="P41" i="11"/>
  <c r="E9" i="11"/>
  <c r="D3" i="11"/>
  <c r="E3" i="11"/>
  <c r="P7" i="11"/>
  <c r="P36" i="11"/>
  <c r="P40" i="11"/>
  <c r="P6" i="11"/>
  <c r="P35" i="11"/>
  <c r="P39" i="11"/>
  <c r="N20" i="3"/>
  <c r="F58" i="3" s="1"/>
  <c r="D10" i="11"/>
  <c r="E59" i="11"/>
  <c r="F59" i="11" s="1"/>
  <c r="F62" i="11" s="1"/>
  <c r="N10" i="11"/>
  <c r="N25" i="11"/>
  <c r="D5" i="11"/>
  <c r="E60" i="11"/>
  <c r="F60" i="11" s="1"/>
  <c r="H47" i="11"/>
  <c r="I47" i="11" s="1"/>
  <c r="E6" i="11"/>
  <c r="D7" i="11"/>
  <c r="E61" i="11"/>
  <c r="F61" i="11" s="1"/>
  <c r="D8" i="11"/>
  <c r="P8" i="11"/>
  <c r="N20" i="11"/>
  <c r="H48" i="11"/>
  <c r="I48" i="11" s="1"/>
  <c r="H49" i="11"/>
  <c r="I49" i="11" s="1"/>
  <c r="H50" i="11"/>
  <c r="I50" i="11" s="1"/>
  <c r="N19" i="11"/>
  <c r="E55" i="11" l="1"/>
  <c r="D48" i="11"/>
  <c r="E48" i="11"/>
  <c r="E54" i="11"/>
  <c r="E69" i="11"/>
  <c r="N27" i="11"/>
  <c r="N26" i="11"/>
  <c r="F23" i="3" l="1"/>
  <c r="M76" i="3" l="1"/>
  <c r="M127" i="3" s="1"/>
  <c r="N76" i="3"/>
  <c r="N127" i="3" s="1"/>
  <c r="O76" i="3"/>
  <c r="O127" i="3" s="1"/>
  <c r="M128" i="3"/>
  <c r="N77" i="3"/>
  <c r="N128" i="3" s="1"/>
  <c r="O77" i="3"/>
  <c r="O128" i="3" s="1"/>
  <c r="N78" i="3"/>
  <c r="N129" i="3" s="1"/>
  <c r="O78" i="3"/>
  <c r="O129" i="3" s="1"/>
  <c r="M79" i="3"/>
  <c r="M130" i="3" s="1"/>
  <c r="N79" i="3"/>
  <c r="N130" i="3" s="1"/>
  <c r="O79" i="3"/>
  <c r="O130" i="3" s="1"/>
  <c r="M80" i="3"/>
  <c r="M131" i="3" s="1"/>
  <c r="N80" i="3"/>
  <c r="N131" i="3" s="1"/>
  <c r="O80" i="3"/>
  <c r="O131" i="3" s="1"/>
  <c r="M81" i="3"/>
  <c r="M132" i="3" s="1"/>
  <c r="N81" i="3"/>
  <c r="N132" i="3" s="1"/>
  <c r="O81" i="3"/>
  <c r="O132" i="3" s="1"/>
  <c r="M75" i="3"/>
  <c r="M126" i="3" s="1"/>
  <c r="N75" i="3"/>
  <c r="N126" i="3" s="1"/>
  <c r="O75" i="3"/>
  <c r="O126" i="3" s="1"/>
  <c r="D27" i="8" l="1"/>
  <c r="E27" i="8"/>
  <c r="C27" i="8"/>
  <c r="D26" i="8"/>
  <c r="E26" i="8"/>
  <c r="C26" i="8"/>
  <c r="D25" i="8"/>
  <c r="E25" i="8"/>
  <c r="C25" i="8"/>
  <c r="D24" i="8"/>
  <c r="E24" i="8"/>
  <c r="C24" i="8"/>
  <c r="D23" i="8"/>
  <c r="E23" i="8"/>
  <c r="C23" i="8"/>
  <c r="D22" i="8"/>
  <c r="E22" i="8"/>
  <c r="C22" i="8"/>
  <c r="S51" i="2"/>
  <c r="S52" i="2"/>
  <c r="S53" i="2"/>
  <c r="S50" i="2"/>
  <c r="R51" i="2"/>
  <c r="R52" i="2"/>
  <c r="R53" i="2"/>
  <c r="R50" i="2"/>
  <c r="Q51" i="2"/>
  <c r="Q52" i="2"/>
  <c r="Q53" i="2"/>
  <c r="Q50" i="2"/>
  <c r="P51" i="2"/>
  <c r="P52" i="2"/>
  <c r="P53" i="2"/>
  <c r="P50" i="2"/>
  <c r="O51" i="2"/>
  <c r="O52" i="2"/>
  <c r="O53" i="2"/>
  <c r="O50" i="2"/>
  <c r="M51" i="2"/>
  <c r="M52" i="2"/>
  <c r="M53" i="2"/>
  <c r="M50" i="2"/>
  <c r="L51" i="2"/>
  <c r="L52" i="2"/>
  <c r="L53" i="2"/>
  <c r="L50" i="2"/>
  <c r="K51" i="2"/>
  <c r="K52" i="2"/>
  <c r="K53" i="2"/>
  <c r="K50" i="2"/>
  <c r="J51" i="2"/>
  <c r="J52" i="2"/>
  <c r="J53" i="2"/>
  <c r="J50" i="2"/>
  <c r="I51" i="2"/>
  <c r="I52" i="2"/>
  <c r="I53" i="2"/>
  <c r="I50" i="2"/>
  <c r="F51" i="2"/>
  <c r="F52" i="2"/>
  <c r="F53" i="2"/>
  <c r="G51" i="2"/>
  <c r="G52" i="2"/>
  <c r="G53" i="2"/>
  <c r="G50" i="2"/>
  <c r="F50" i="2"/>
  <c r="E51" i="2"/>
  <c r="E52" i="2"/>
  <c r="E53" i="2"/>
  <c r="E50" i="2"/>
  <c r="D51" i="2"/>
  <c r="D52" i="2"/>
  <c r="D53" i="2"/>
  <c r="D50" i="2"/>
  <c r="C51" i="2"/>
  <c r="C52" i="2"/>
  <c r="C53" i="2"/>
  <c r="C50" i="2"/>
  <c r="I38" i="3"/>
  <c r="I117" i="3" l="1"/>
  <c r="I66" i="3"/>
  <c r="G14" i="8" l="1"/>
  <c r="N14" i="8" s="1"/>
  <c r="G15" i="8"/>
  <c r="N15" i="8" s="1"/>
  <c r="G16" i="8"/>
  <c r="N16" i="8" s="1"/>
  <c r="G17" i="8"/>
  <c r="N17" i="8" s="1"/>
  <c r="G18" i="8"/>
  <c r="N18" i="8" s="1"/>
  <c r="G13" i="8"/>
  <c r="N13" i="8" s="1"/>
  <c r="F14" i="8"/>
  <c r="M14" i="8" s="1"/>
  <c r="F15" i="8"/>
  <c r="M15" i="8" s="1"/>
  <c r="F16" i="8"/>
  <c r="M16" i="8" s="1"/>
  <c r="F17" i="8"/>
  <c r="M17" i="8" s="1"/>
  <c r="F18" i="8"/>
  <c r="M18" i="8" s="1"/>
  <c r="F13" i="8"/>
  <c r="M13" i="8" s="1"/>
  <c r="E14" i="8"/>
  <c r="L14" i="8" s="1"/>
  <c r="E15" i="8"/>
  <c r="L15" i="8" s="1"/>
  <c r="E16" i="8"/>
  <c r="L16" i="8" s="1"/>
  <c r="E17" i="8"/>
  <c r="L17" i="8" s="1"/>
  <c r="E18" i="8"/>
  <c r="L18" i="8" s="1"/>
  <c r="E13" i="8"/>
  <c r="L13" i="8" s="1"/>
  <c r="B21" i="8"/>
  <c r="K14" i="8"/>
  <c r="K13" i="8"/>
  <c r="D20" i="5"/>
  <c r="W25" i="3" l="1"/>
  <c r="W26" i="3"/>
  <c r="W27" i="3"/>
  <c r="W28" i="3"/>
  <c r="W29" i="3"/>
  <c r="W30" i="3"/>
  <c r="W24" i="3"/>
  <c r="W31" i="3" l="1"/>
  <c r="X24" i="3"/>
  <c r="D70" i="5" l="1"/>
  <c r="E70" i="5"/>
  <c r="F70" i="5"/>
  <c r="G70" i="5"/>
  <c r="D71" i="5"/>
  <c r="E71" i="5"/>
  <c r="F71" i="5"/>
  <c r="G71" i="5"/>
  <c r="D72" i="5"/>
  <c r="E72" i="5"/>
  <c r="F72" i="5"/>
  <c r="G72" i="5"/>
  <c r="D73" i="5"/>
  <c r="E73" i="5"/>
  <c r="F73" i="5"/>
  <c r="G73" i="5"/>
  <c r="D74" i="5"/>
  <c r="E74" i="5"/>
  <c r="F74" i="5"/>
  <c r="G74" i="5"/>
  <c r="E69" i="5"/>
  <c r="F69" i="5"/>
  <c r="G69" i="5"/>
  <c r="D69" i="5"/>
  <c r="D65" i="5"/>
  <c r="E65" i="5"/>
  <c r="F65" i="5"/>
  <c r="G65" i="5"/>
  <c r="D66" i="5"/>
  <c r="E66" i="5"/>
  <c r="F66" i="5"/>
  <c r="G66" i="5"/>
  <c r="D67" i="5"/>
  <c r="E67" i="5"/>
  <c r="F67" i="5"/>
  <c r="G67" i="5"/>
  <c r="D68" i="5"/>
  <c r="E68" i="5"/>
  <c r="F68" i="5"/>
  <c r="G68" i="5"/>
  <c r="E64" i="5"/>
  <c r="F64" i="5"/>
  <c r="G64" i="5"/>
  <c r="D64" i="5"/>
  <c r="D60" i="5"/>
  <c r="E60" i="5"/>
  <c r="F60" i="5"/>
  <c r="G60" i="5"/>
  <c r="D61" i="5"/>
  <c r="E61" i="5"/>
  <c r="F61" i="5"/>
  <c r="G61" i="5"/>
  <c r="D62" i="5"/>
  <c r="E62" i="5"/>
  <c r="F62" i="5"/>
  <c r="G62" i="5"/>
  <c r="D63" i="5"/>
  <c r="E63" i="5"/>
  <c r="F63" i="5"/>
  <c r="G63" i="5"/>
  <c r="E59" i="5"/>
  <c r="F59" i="5"/>
  <c r="G59" i="5"/>
  <c r="D59" i="5"/>
  <c r="D55" i="5"/>
  <c r="E55" i="5"/>
  <c r="F55" i="5"/>
  <c r="G55" i="5"/>
  <c r="D56" i="5"/>
  <c r="E56" i="5"/>
  <c r="F56" i="5"/>
  <c r="G56" i="5"/>
  <c r="D57" i="5"/>
  <c r="E57" i="5"/>
  <c r="F57" i="5"/>
  <c r="G57" i="5"/>
  <c r="D58" i="5"/>
  <c r="E58" i="5"/>
  <c r="F58" i="5"/>
  <c r="G58" i="5"/>
  <c r="E54" i="5"/>
  <c r="F54" i="5"/>
  <c r="G54" i="5"/>
  <c r="D54" i="5"/>
  <c r="C70" i="5"/>
  <c r="C71" i="5"/>
  <c r="C72" i="5"/>
  <c r="C73" i="5"/>
  <c r="C74" i="5"/>
  <c r="C69" i="5"/>
  <c r="C65" i="5"/>
  <c r="C66" i="5"/>
  <c r="C67" i="5"/>
  <c r="C68" i="5"/>
  <c r="C64" i="5"/>
  <c r="C60" i="5"/>
  <c r="C61" i="5"/>
  <c r="C62" i="5"/>
  <c r="C63" i="5"/>
  <c r="C59" i="5"/>
  <c r="C55" i="5"/>
  <c r="C56" i="5"/>
  <c r="C57" i="5"/>
  <c r="C58" i="5"/>
  <c r="C54" i="5"/>
  <c r="M37" i="3"/>
  <c r="L40" i="3" l="1"/>
  <c r="E18" i="3"/>
  <c r="B4" i="8"/>
  <c r="B3" i="8"/>
  <c r="B2" i="8"/>
  <c r="G17" i="3" l="1"/>
  <c r="N32" i="3"/>
  <c r="D23" i="5" l="1"/>
  <c r="D24" i="5"/>
  <c r="D25" i="5"/>
  <c r="D26" i="5"/>
  <c r="D27" i="5"/>
  <c r="D28" i="5"/>
  <c r="D29" i="5"/>
  <c r="D22" i="5"/>
  <c r="AO29" i="1"/>
  <c r="AO30" i="1"/>
  <c r="AO31" i="1"/>
  <c r="AO32" i="1"/>
  <c r="AO33" i="1"/>
  <c r="AO34" i="1"/>
  <c r="AO35" i="1"/>
  <c r="AO28" i="1"/>
  <c r="C5" i="7"/>
  <c r="C4" i="7" l="1"/>
  <c r="C3" i="7"/>
  <c r="G26" i="3" l="1"/>
  <c r="N30" i="5"/>
  <c r="N31" i="5"/>
  <c r="N29" i="5"/>
  <c r="N27" i="5"/>
  <c r="N28" i="5"/>
  <c r="N26" i="5"/>
  <c r="N25" i="5"/>
  <c r="N24" i="5"/>
  <c r="O30" i="5"/>
  <c r="O31" i="5"/>
  <c r="O29" i="5"/>
  <c r="O27" i="5"/>
  <c r="O28" i="5"/>
  <c r="O26" i="5"/>
  <c r="O25" i="5"/>
  <c r="O24" i="5"/>
  <c r="Q36" i="5"/>
  <c r="Q37" i="5"/>
  <c r="Q38" i="5"/>
  <c r="P37" i="5"/>
  <c r="P38" i="5"/>
  <c r="P36" i="5"/>
  <c r="C8" i="6"/>
  <c r="M36" i="5"/>
  <c r="M37" i="5"/>
  <c r="M38" i="5"/>
  <c r="M39" i="5"/>
  <c r="M40" i="5"/>
  <c r="M41" i="5"/>
  <c r="M42" i="5"/>
  <c r="M43" i="5"/>
  <c r="M44" i="5"/>
  <c r="M45" i="5"/>
  <c r="M46" i="5"/>
  <c r="L37" i="5"/>
  <c r="L38" i="5"/>
  <c r="L39" i="5"/>
  <c r="L40" i="5"/>
  <c r="L41" i="5"/>
  <c r="L42" i="5"/>
  <c r="L43" i="5"/>
  <c r="L44" i="5"/>
  <c r="L45" i="5"/>
  <c r="L46" i="5"/>
  <c r="L36" i="5"/>
  <c r="S17" i="1"/>
  <c r="T17" i="1"/>
  <c r="R17" i="1"/>
  <c r="S16" i="1"/>
  <c r="T16" i="1"/>
  <c r="R16" i="1"/>
  <c r="S18" i="1"/>
  <c r="T18" i="1"/>
  <c r="R18" i="1"/>
  <c r="S20" i="1"/>
  <c r="T20" i="1"/>
  <c r="R20" i="1"/>
  <c r="K26" i="3" l="1"/>
  <c r="I16" i="3" l="1"/>
  <c r="F46" i="3" s="1"/>
  <c r="M39" i="3" l="1"/>
  <c r="F97" i="3"/>
  <c r="E68" i="3"/>
  <c r="M17" i="5"/>
  <c r="B17" i="8" s="1"/>
  <c r="M15" i="5"/>
  <c r="B15" i="8" s="1"/>
  <c r="M14" i="5"/>
  <c r="B14" i="8" s="1"/>
  <c r="M18" i="5"/>
  <c r="B18" i="8" s="1"/>
  <c r="M16" i="5"/>
  <c r="B16" i="8" s="1"/>
  <c r="M13" i="5"/>
  <c r="B13" i="8" s="1"/>
  <c r="J13" i="8" s="1"/>
  <c r="Q11" i="2"/>
  <c r="Q10" i="2"/>
  <c r="Q9" i="2"/>
  <c r="Q8" i="2"/>
  <c r="Q6" i="2"/>
  <c r="Q5" i="2"/>
  <c r="Q4" i="2"/>
  <c r="B25" i="8" l="1"/>
  <c r="J16" i="8"/>
  <c r="J14" i="8"/>
  <c r="B23" i="8"/>
  <c r="J18" i="8"/>
  <c r="B27" i="8"/>
  <c r="B24" i="8"/>
  <c r="J15" i="8"/>
  <c r="B26" i="8"/>
  <c r="J17" i="8"/>
  <c r="E4" i="8"/>
  <c r="E3" i="8"/>
  <c r="B22" i="8"/>
  <c r="E119" i="3"/>
  <c r="F148" i="3"/>
  <c r="E2" i="8"/>
  <c r="I12" i="6"/>
  <c r="I11" i="6"/>
  <c r="E7" i="6" s="1"/>
  <c r="I10" i="6"/>
  <c r="I9" i="6"/>
  <c r="E6" i="6" s="1"/>
  <c r="I8" i="6"/>
  <c r="E4" i="6" s="1"/>
  <c r="I7" i="6"/>
  <c r="I6" i="6"/>
  <c r="I5" i="6"/>
  <c r="I4" i="6"/>
  <c r="I3" i="6"/>
  <c r="I2" i="6"/>
  <c r="J3" i="6" s="1"/>
  <c r="J4" i="6" s="1"/>
  <c r="F27" i="3"/>
  <c r="E25" i="3"/>
  <c r="E26" i="3"/>
  <c r="E27" i="3"/>
  <c r="E28" i="3"/>
  <c r="E30" i="3"/>
  <c r="E31" i="3"/>
  <c r="E24" i="3"/>
  <c r="D25" i="3"/>
  <c r="D26" i="3"/>
  <c r="D27" i="3"/>
  <c r="D28" i="3"/>
  <c r="D29" i="3"/>
  <c r="D30" i="3"/>
  <c r="D31" i="3"/>
  <c r="D24" i="3"/>
  <c r="F40" i="3"/>
  <c r="F156" i="3"/>
  <c r="O133" i="3"/>
  <c r="N133" i="3"/>
  <c r="M133" i="3"/>
  <c r="X25" i="3"/>
  <c r="X26" i="3"/>
  <c r="X27" i="3"/>
  <c r="X28" i="3"/>
  <c r="X29" i="3"/>
  <c r="X30" i="3"/>
  <c r="S89" i="3" l="1"/>
  <c r="J5" i="6"/>
  <c r="J6" i="6" s="1"/>
  <c r="J7" i="6" s="1"/>
  <c r="J8" i="6" s="1"/>
  <c r="J9" i="6" s="1"/>
  <c r="J10" i="6" s="1"/>
  <c r="J11" i="6" s="1"/>
  <c r="J12" i="6" s="1"/>
  <c r="G134" i="3"/>
  <c r="G83" i="3"/>
  <c r="G117" i="3"/>
  <c r="G118" i="3"/>
  <c r="D133" i="3"/>
  <c r="BF13" i="1"/>
  <c r="D126" i="3"/>
  <c r="BF6" i="1"/>
  <c r="D132" i="3"/>
  <c r="BF12" i="1"/>
  <c r="D130" i="3"/>
  <c r="BF10" i="1"/>
  <c r="D131" i="3"/>
  <c r="BF11" i="1"/>
  <c r="D129" i="3"/>
  <c r="BF9" i="1"/>
  <c r="D128" i="3"/>
  <c r="BF8" i="1"/>
  <c r="D127" i="3"/>
  <c r="BF7" i="1"/>
  <c r="E2" i="6"/>
  <c r="F2" i="6" s="1"/>
  <c r="E3" i="6"/>
  <c r="E5" i="6"/>
  <c r="G24" i="3"/>
  <c r="K11" i="6"/>
  <c r="K10" i="6" s="1"/>
  <c r="K9" i="6" s="1"/>
  <c r="K8" i="6" s="1"/>
  <c r="K7" i="6" s="1"/>
  <c r="K6" i="6" s="1"/>
  <c r="K5" i="6" s="1"/>
  <c r="K4" i="6" s="1"/>
  <c r="K3" i="6" s="1"/>
  <c r="K2" i="6" s="1"/>
  <c r="F26" i="3"/>
  <c r="K24" i="3" l="1"/>
  <c r="F3" i="6"/>
  <c r="F4" i="6" s="1"/>
  <c r="F5" i="6" s="1"/>
  <c r="F6" i="6" s="1"/>
  <c r="F7" i="6" s="1"/>
  <c r="F105" i="3"/>
  <c r="N51" i="2" l="1"/>
  <c r="N52" i="2"/>
  <c r="N53" i="2"/>
  <c r="H51" i="2"/>
  <c r="H52" i="2"/>
  <c r="H53" i="2"/>
  <c r="H50" i="2"/>
  <c r="N50" i="2"/>
  <c r="B51" i="2"/>
  <c r="B52" i="2"/>
  <c r="B53" i="2"/>
  <c r="B50" i="2"/>
  <c r="S49" i="2"/>
  <c r="R49" i="2"/>
  <c r="Q49" i="2"/>
  <c r="P49" i="2"/>
  <c r="O49" i="2"/>
  <c r="N49" i="2"/>
  <c r="M49" i="2"/>
  <c r="L49" i="2"/>
  <c r="K49" i="2"/>
  <c r="J49" i="2"/>
  <c r="I49" i="2"/>
  <c r="H49" i="2"/>
  <c r="G49" i="2"/>
  <c r="F49" i="2"/>
  <c r="E49" i="2"/>
  <c r="D49" i="2"/>
  <c r="C49" i="2"/>
  <c r="B49" i="2"/>
  <c r="P47" i="3" l="1"/>
  <c r="P150" i="3"/>
  <c r="P149" i="3"/>
  <c r="P151" i="3"/>
  <c r="P152" i="3"/>
  <c r="P101" i="3"/>
  <c r="F98" i="3" s="1"/>
  <c r="P100" i="3"/>
  <c r="P99" i="3"/>
  <c r="P98" i="3"/>
  <c r="P49" i="3"/>
  <c r="P50" i="3"/>
  <c r="F47" i="3" s="1"/>
  <c r="P48" i="3"/>
  <c r="P148" i="3" l="1"/>
  <c r="P97" i="3"/>
  <c r="P46" i="3"/>
  <c r="L76" i="3"/>
  <c r="L127" i="3" s="1"/>
  <c r="L77" i="3"/>
  <c r="L128" i="3" s="1"/>
  <c r="L78" i="3"/>
  <c r="L129" i="3" s="1"/>
  <c r="L79" i="3"/>
  <c r="L80" i="3"/>
  <c r="L131" i="3" s="1"/>
  <c r="L81" i="3"/>
  <c r="L82" i="3"/>
  <c r="G91" i="3" s="1"/>
  <c r="L75" i="3"/>
  <c r="H76" i="3"/>
  <c r="W76" i="3" s="1"/>
  <c r="H77" i="3"/>
  <c r="H78" i="3"/>
  <c r="H79" i="3"/>
  <c r="H130" i="3" s="1"/>
  <c r="H80" i="3"/>
  <c r="H131" i="3" s="1"/>
  <c r="H81" i="3"/>
  <c r="H132" i="3" s="1"/>
  <c r="H82" i="3"/>
  <c r="H75" i="3"/>
  <c r="W75" i="3"/>
  <c r="N82" i="3"/>
  <c r="H31" i="3" s="1"/>
  <c r="O82" i="3"/>
  <c r="I31" i="3" s="1"/>
  <c r="W80" i="3"/>
  <c r="M82" i="3"/>
  <c r="G31" i="3" s="1"/>
  <c r="S90" i="3" l="1"/>
  <c r="R90" i="3"/>
  <c r="O66" i="3"/>
  <c r="O69" i="3"/>
  <c r="O68" i="3"/>
  <c r="O67" i="3"/>
  <c r="W79" i="3"/>
  <c r="W78" i="3"/>
  <c r="W77" i="3"/>
  <c r="M88" i="3"/>
  <c r="M90" i="3" s="1"/>
  <c r="L132" i="3"/>
  <c r="W81" i="3"/>
  <c r="L130" i="3"/>
  <c r="W130" i="3" s="1"/>
  <c r="H128" i="3"/>
  <c r="Q128" i="3" s="1"/>
  <c r="Q77" i="3"/>
  <c r="H126" i="3"/>
  <c r="Q75" i="3"/>
  <c r="T83" i="3"/>
  <c r="F91" i="3"/>
  <c r="M31" i="3"/>
  <c r="S82" i="3"/>
  <c r="L31" i="3"/>
  <c r="R82" i="3"/>
  <c r="K31" i="3"/>
  <c r="Q82" i="3"/>
  <c r="H26" i="3"/>
  <c r="I24" i="3"/>
  <c r="M139" i="3"/>
  <c r="G25" i="3"/>
  <c r="I26" i="3"/>
  <c r="X78" i="3"/>
  <c r="Y78" i="3" s="1"/>
  <c r="H127" i="3"/>
  <c r="X80" i="3"/>
  <c r="Y80" i="3" s="1"/>
  <c r="X76" i="3"/>
  <c r="Y76" i="3" s="1"/>
  <c r="X81" i="3"/>
  <c r="Y81" i="3" s="1"/>
  <c r="X79" i="3"/>
  <c r="Y79" i="3" s="1"/>
  <c r="X77" i="3"/>
  <c r="Y77" i="3" s="1"/>
  <c r="X75" i="3"/>
  <c r="Y75" i="3" s="1"/>
  <c r="L126" i="3"/>
  <c r="S141" i="3" s="1"/>
  <c r="I89" i="3"/>
  <c r="H129" i="3"/>
  <c r="I90" i="3"/>
  <c r="G27" i="3"/>
  <c r="I28" i="3"/>
  <c r="H27" i="3"/>
  <c r="H29" i="3"/>
  <c r="H25" i="3"/>
  <c r="H28" i="3"/>
  <c r="I27" i="3"/>
  <c r="L133" i="3"/>
  <c r="G142" i="3" s="1"/>
  <c r="I30" i="3"/>
  <c r="H133" i="3"/>
  <c r="F142" i="3" s="1"/>
  <c r="G30" i="3"/>
  <c r="G28" i="3"/>
  <c r="I29" i="3"/>
  <c r="F54" i="3"/>
  <c r="C39" i="5"/>
  <c r="D39" i="5"/>
  <c r="E39" i="5"/>
  <c r="Y25" i="3"/>
  <c r="R141" i="3" l="1"/>
  <c r="O119" i="3"/>
  <c r="O117" i="3"/>
  <c r="O120" i="3"/>
  <c r="O118" i="3"/>
  <c r="Q90" i="3"/>
  <c r="N70" i="3"/>
  <c r="F109" i="3" s="1"/>
  <c r="W82" i="3"/>
  <c r="L91" i="3" s="1"/>
  <c r="W128" i="3"/>
  <c r="W129" i="3"/>
  <c r="I25" i="3"/>
  <c r="M25" i="3" s="1"/>
  <c r="W127" i="3"/>
  <c r="W132" i="3"/>
  <c r="G29" i="3"/>
  <c r="Q131" i="3" s="1"/>
  <c r="W131" i="3"/>
  <c r="H24" i="3"/>
  <c r="L24" i="3" s="1"/>
  <c r="W126" i="3"/>
  <c r="H30" i="3"/>
  <c r="L30" i="3" s="1"/>
  <c r="M141" i="3"/>
  <c r="E142" i="3"/>
  <c r="S133" i="3"/>
  <c r="R133" i="3"/>
  <c r="Q133" i="3"/>
  <c r="Q126" i="3"/>
  <c r="T134" i="3"/>
  <c r="K30" i="3"/>
  <c r="Q81" i="3"/>
  <c r="Q132" i="3"/>
  <c r="L29" i="3"/>
  <c r="R131" i="3"/>
  <c r="R80" i="3"/>
  <c r="M26" i="3"/>
  <c r="S128" i="3"/>
  <c r="S77" i="3"/>
  <c r="K27" i="3"/>
  <c r="Q78" i="3"/>
  <c r="Q129" i="3"/>
  <c r="Q127" i="3"/>
  <c r="Q76" i="3"/>
  <c r="S126" i="3"/>
  <c r="S75" i="3"/>
  <c r="L25" i="3"/>
  <c r="R76" i="3"/>
  <c r="R127" i="3"/>
  <c r="L27" i="3"/>
  <c r="R129" i="3"/>
  <c r="R78" i="3"/>
  <c r="M29" i="3"/>
  <c r="S131" i="3"/>
  <c r="S80" i="3"/>
  <c r="M27" i="3"/>
  <c r="S129" i="3"/>
  <c r="S78" i="3"/>
  <c r="L26" i="3"/>
  <c r="R77" i="3"/>
  <c r="R128" i="3"/>
  <c r="M28" i="3"/>
  <c r="S79" i="3"/>
  <c r="S130" i="3"/>
  <c r="M30" i="3"/>
  <c r="S81" i="3"/>
  <c r="S132" i="3"/>
  <c r="K28" i="3"/>
  <c r="Q79" i="3"/>
  <c r="Q130" i="3"/>
  <c r="L28" i="3"/>
  <c r="R130" i="3"/>
  <c r="R79" i="3"/>
  <c r="K25" i="3"/>
  <c r="G40" i="3"/>
  <c r="M24" i="3"/>
  <c r="I140" i="3"/>
  <c r="I141" i="3"/>
  <c r="X127" i="3"/>
  <c r="Y127" i="3" s="1"/>
  <c r="X130" i="3"/>
  <c r="Y130" i="3" s="1"/>
  <c r="X131" i="3"/>
  <c r="Y131" i="3" s="1"/>
  <c r="X126" i="3"/>
  <c r="Y126" i="3" s="1"/>
  <c r="X128" i="3"/>
  <c r="Y128" i="3" s="1"/>
  <c r="X132" i="3"/>
  <c r="Y132" i="3" s="1"/>
  <c r="X129" i="3"/>
  <c r="Y129" i="3" s="1"/>
  <c r="X82" i="3"/>
  <c r="Y82" i="3"/>
  <c r="M89" i="3" s="1"/>
  <c r="Y24" i="3"/>
  <c r="Y29" i="3"/>
  <c r="Y28" i="3"/>
  <c r="Y27" i="3"/>
  <c r="Y26" i="3"/>
  <c r="Y30" i="3"/>
  <c r="X31" i="3"/>
  <c r="I39" i="3"/>
  <c r="N121" i="3" l="1"/>
  <c r="F160" i="3" s="1"/>
  <c r="G143" i="3"/>
  <c r="Q141" i="3"/>
  <c r="F92" i="3"/>
  <c r="R132" i="3"/>
  <c r="Q80" i="3"/>
  <c r="Q83" i="3" s="1"/>
  <c r="K29" i="3"/>
  <c r="K32" i="3" s="1"/>
  <c r="S76" i="3"/>
  <c r="G41" i="3"/>
  <c r="S127" i="3"/>
  <c r="S134" i="3" s="1"/>
  <c r="R75" i="3"/>
  <c r="G92" i="3"/>
  <c r="R126" i="3"/>
  <c r="F143" i="3"/>
  <c r="E143" i="3" s="1"/>
  <c r="R81" i="3"/>
  <c r="W133" i="3"/>
  <c r="L142" i="3" s="1"/>
  <c r="N91" i="3"/>
  <c r="N92" i="3" s="1"/>
  <c r="M32" i="3"/>
  <c r="L32" i="3"/>
  <c r="Q134" i="3"/>
  <c r="Y133" i="3"/>
  <c r="M140" i="3" s="1"/>
  <c r="X133" i="3"/>
  <c r="Y31" i="3"/>
  <c r="M38" i="3" s="1"/>
  <c r="N40" i="3" s="1"/>
  <c r="R134" i="3" l="1"/>
  <c r="E92" i="3"/>
  <c r="N142" i="3"/>
  <c r="N143" i="3" s="1"/>
  <c r="F158" i="3"/>
  <c r="E23" i="3"/>
  <c r="G23" i="3"/>
  <c r="H23" i="3"/>
  <c r="I23" i="3"/>
  <c r="S140" i="3" l="1"/>
  <c r="R140" i="3"/>
  <c r="S38" i="3"/>
  <c r="R89" i="3"/>
  <c r="Q89" i="3" s="1"/>
  <c r="N41" i="3"/>
  <c r="D80" i="3"/>
  <c r="D76" i="3"/>
  <c r="D79" i="3"/>
  <c r="D75" i="3"/>
  <c r="D4" i="8" s="1"/>
  <c r="G4" i="8" s="1"/>
  <c r="D81" i="3"/>
  <c r="D77" i="3"/>
  <c r="D82" i="3"/>
  <c r="D78" i="3"/>
  <c r="R38" i="3"/>
  <c r="F41" i="3"/>
  <c r="F24" i="3"/>
  <c r="F30" i="3"/>
  <c r="F29" i="3"/>
  <c r="F28" i="3"/>
  <c r="F31" i="3"/>
  <c r="F25" i="3"/>
  <c r="Q140" i="3" l="1"/>
  <c r="Q38" i="3"/>
  <c r="K18" i="8"/>
  <c r="C2" i="8"/>
  <c r="F2" i="8" s="1"/>
  <c r="C3" i="8"/>
  <c r="F3" i="8" s="1"/>
  <c r="C4" i="8"/>
  <c r="F4" i="8" s="1"/>
  <c r="H4" i="8" s="1"/>
  <c r="F151" i="3" s="1"/>
  <c r="K17" i="8"/>
  <c r="D3" i="8"/>
  <c r="G3" i="8" s="1"/>
  <c r="E41" i="3"/>
  <c r="S91" i="3"/>
  <c r="R91" i="3"/>
  <c r="R142" i="3"/>
  <c r="S142" i="3"/>
  <c r="V19" i="1"/>
  <c r="G39" i="5" s="1"/>
  <c r="W19" i="1"/>
  <c r="H39" i="5" s="1"/>
  <c r="G67" i="3" s="1"/>
  <c r="X19" i="1"/>
  <c r="I39" i="5" s="1"/>
  <c r="H3" i="8" l="1"/>
  <c r="F100" i="3" s="1"/>
  <c r="K16" i="8"/>
  <c r="D2" i="8"/>
  <c r="G2" i="8" s="1"/>
  <c r="H2" i="8" s="1"/>
  <c r="F49" i="3" s="1"/>
  <c r="K15" i="8"/>
  <c r="Q91" i="3"/>
  <c r="Q142" i="3"/>
  <c r="X20" i="1"/>
  <c r="I40" i="5" s="1"/>
  <c r="E40" i="5"/>
  <c r="C37" i="5"/>
  <c r="C38" i="5"/>
  <c r="X18" i="1"/>
  <c r="I38" i="5" s="1"/>
  <c r="E38" i="5"/>
  <c r="D37" i="5"/>
  <c r="G66" i="3" s="1"/>
  <c r="D38" i="5"/>
  <c r="G16" i="3" s="1"/>
  <c r="I19" i="3" s="1"/>
  <c r="V20" i="1"/>
  <c r="G40" i="5" s="1"/>
  <c r="C40" i="5"/>
  <c r="W20" i="1"/>
  <c r="H40" i="5" s="1"/>
  <c r="D40" i="5"/>
  <c r="E37" i="5"/>
  <c r="W18" i="1"/>
  <c r="H38" i="5" s="1"/>
  <c r="V18" i="1"/>
  <c r="G38" i="5" s="1"/>
  <c r="W17" i="1" l="1"/>
  <c r="H37" i="5" s="1"/>
  <c r="V17" i="1"/>
  <c r="G37" i="5" s="1"/>
  <c r="X17" i="1"/>
  <c r="I37" i="5" s="1"/>
  <c r="V16" i="1" l="1"/>
  <c r="G36" i="5" s="1"/>
  <c r="C36" i="5"/>
  <c r="W16" i="1"/>
  <c r="H36" i="5" s="1"/>
  <c r="D36" i="5"/>
  <c r="X16" i="1"/>
  <c r="I36" i="5" s="1"/>
  <c r="E36" i="5"/>
  <c r="Q41" i="3" l="1"/>
  <c r="E7" i="3" s="1"/>
  <c r="I120" i="3"/>
  <c r="Q144" i="3" s="1"/>
  <c r="G7" i="3" s="1"/>
  <c r="I69" i="3"/>
  <c r="Q93" i="3" l="1"/>
  <c r="F7" i="3" s="1"/>
  <c r="E40" i="3" l="1"/>
  <c r="F56" i="3"/>
  <c r="G38" i="3" l="1"/>
  <c r="F38" i="3"/>
  <c r="G39" i="3"/>
  <c r="F39" i="3"/>
  <c r="I47" i="3" l="1"/>
  <c r="I48" i="3"/>
  <c r="E38" i="3"/>
  <c r="E39" i="3"/>
  <c r="I46" i="3" l="1"/>
  <c r="P53" i="3" l="1"/>
  <c r="P54" i="3" s="1"/>
  <c r="P57" i="3" s="1"/>
  <c r="E91" i="3"/>
  <c r="F107" i="3"/>
  <c r="F90" i="3" s="1"/>
  <c r="P56" i="3" l="1"/>
  <c r="G89" i="3"/>
  <c r="G90" i="3"/>
  <c r="F89" i="3"/>
  <c r="K7" i="3" l="1"/>
  <c r="K8" i="3" s="1"/>
  <c r="E90" i="3"/>
  <c r="I99" i="3"/>
  <c r="I98" i="3"/>
  <c r="E89" i="3"/>
  <c r="I97" i="3" l="1"/>
  <c r="P104" i="3" s="1"/>
  <c r="R83" i="3"/>
  <c r="S83" i="3"/>
  <c r="P105" i="3" l="1"/>
  <c r="P108" i="3" s="1"/>
  <c r="F149" i="3"/>
  <c r="F140" i="3" s="1"/>
  <c r="P107" i="3" l="1"/>
  <c r="L7" i="3" s="1"/>
  <c r="L8" i="3" s="1"/>
  <c r="G141" i="3"/>
  <c r="G140" i="3"/>
  <c r="I149" i="3" s="1"/>
  <c r="F141" i="3"/>
  <c r="I150" i="3" l="1"/>
  <c r="I148" i="3" s="1"/>
  <c r="E141" i="3"/>
  <c r="E140" i="3"/>
  <c r="P155" i="3" l="1"/>
  <c r="P156" i="3" s="1"/>
  <c r="P158" i="3" s="1"/>
  <c r="M7" i="3" s="1"/>
  <c r="M8" i="3" s="1"/>
  <c r="S156" i="3"/>
  <c r="P159" i="3" l="1"/>
  <c r="S155" i="3" s="1"/>
  <c r="N6" i="3"/>
  <c r="N7" i="3" l="1"/>
  <c r="N8" i="3" s="1"/>
</calcChain>
</file>

<file path=xl/comments1.xml><?xml version="1.0" encoding="utf-8"?>
<comments xmlns="http://schemas.openxmlformats.org/spreadsheetml/2006/main">
  <authors>
    <author>Leno, Mark</author>
  </authors>
  <commentList>
    <comment ref="E16" authorId="0" shapeId="0">
      <text>
        <r>
          <rPr>
            <sz val="9"/>
            <color indexed="81"/>
            <rFont val="Tahoma"/>
            <family val="2"/>
          </rPr>
          <t>Leave blank if not upgrading</t>
        </r>
      </text>
    </comment>
    <comment ref="E66" authorId="0" shapeId="0">
      <text>
        <r>
          <rPr>
            <sz val="9"/>
            <color indexed="81"/>
            <rFont val="Tahoma"/>
            <family val="2"/>
          </rPr>
          <t>Leave blank if not upgrading</t>
        </r>
      </text>
    </comment>
    <comment ref="E117" authorId="0" shapeId="0">
      <text>
        <r>
          <rPr>
            <sz val="9"/>
            <color indexed="81"/>
            <rFont val="Tahoma"/>
            <family val="2"/>
          </rPr>
          <t>Leave blank if not upgrading</t>
        </r>
      </text>
    </comment>
  </commentList>
</comments>
</file>

<file path=xl/sharedStrings.xml><?xml version="1.0" encoding="utf-8"?>
<sst xmlns="http://schemas.openxmlformats.org/spreadsheetml/2006/main" count="1056" uniqueCount="494">
  <si>
    <t>Offense</t>
  </si>
  <si>
    <t>Defense</t>
  </si>
  <si>
    <t>Tech Level</t>
  </si>
  <si>
    <t>I</t>
  </si>
  <si>
    <t>II</t>
  </si>
  <si>
    <t>III</t>
  </si>
  <si>
    <t>Round</t>
  </si>
  <si>
    <t>Armor</t>
  </si>
  <si>
    <t>Infantry</t>
  </si>
  <si>
    <t>Stryker</t>
  </si>
  <si>
    <t>Aviation</t>
  </si>
  <si>
    <t>Air Defense</t>
  </si>
  <si>
    <t>Special Operations</t>
  </si>
  <si>
    <t>Artillery</t>
  </si>
  <si>
    <t>Roll ≥ 5</t>
  </si>
  <si>
    <t>Roll ≥ 4</t>
  </si>
  <si>
    <t>Roll ≥ 3</t>
  </si>
  <si>
    <t>Roll ≥ 2</t>
  </si>
  <si>
    <t>Roll 6</t>
  </si>
  <si>
    <t>Missed By:</t>
  </si>
  <si>
    <t>Risk Level</t>
  </si>
  <si>
    <t>Target Cost Table</t>
  </si>
  <si>
    <t>≥3</t>
  </si>
  <si>
    <t>≥4</t>
  </si>
  <si>
    <t xml:space="preserve">Cost/Unit Overrun </t>
  </si>
  <si>
    <t xml:space="preserve">1 Level </t>
  </si>
  <si>
    <t>2 Levels</t>
  </si>
  <si>
    <t xml:space="preserve">3 Levels </t>
  </si>
  <si>
    <t>Difference in Levels</t>
  </si>
  <si>
    <t>Lower</t>
  </si>
  <si>
    <t>Higher</t>
  </si>
  <si>
    <t>O&amp;M Cost</t>
  </si>
  <si>
    <t>Force Upgrade Table</t>
  </si>
  <si>
    <t>Technology Multipler Table</t>
  </si>
  <si>
    <t>0.03 or lower</t>
  </si>
  <si>
    <t>0.97 or higher</t>
  </si>
  <si>
    <t>≥ 3</t>
  </si>
  <si>
    <t>≥ 4</t>
  </si>
  <si>
    <t>≥ 5</t>
  </si>
  <si>
    <t>≥ 6</t>
  </si>
  <si>
    <t>≥ 7</t>
  </si>
  <si>
    <t>≥ 8</t>
  </si>
  <si>
    <t>≥ 9</t>
  </si>
  <si>
    <t>≥ 10</t>
  </si>
  <si>
    <t>≥ 11</t>
  </si>
  <si>
    <t>Min 2d6 roll for Win</t>
  </si>
  <si>
    <t>2d6 Roll</t>
  </si>
  <si>
    <t>RC Capability Factor Table</t>
  </si>
  <si>
    <t>Factor</t>
  </si>
  <si>
    <t>Humanitarian Crisis</t>
  </si>
  <si>
    <t xml:space="preserve">ISIS 2.0 </t>
  </si>
  <si>
    <t xml:space="preserve">Steady State </t>
  </si>
  <si>
    <t>QTY AC</t>
  </si>
  <si>
    <t>QTY RC</t>
  </si>
  <si>
    <t>Enablers</t>
  </si>
  <si>
    <t>Total</t>
  </si>
  <si>
    <t xml:space="preserve">Defense </t>
  </si>
  <si>
    <t>AC</t>
  </si>
  <si>
    <t>RC</t>
  </si>
  <si>
    <t>Aviation Support</t>
  </si>
  <si>
    <t>Artillery Support</t>
  </si>
  <si>
    <t>Enabler Capability</t>
  </si>
  <si>
    <t>Disband</t>
  </si>
  <si>
    <t>Round 1</t>
  </si>
  <si>
    <t>Round 2</t>
  </si>
  <si>
    <t>Combined Arms Increases</t>
  </si>
  <si>
    <t>Net Offense</t>
  </si>
  <si>
    <t>Net Defense</t>
  </si>
  <si>
    <t>Net Total Power</t>
  </si>
  <si>
    <t>Min 2d6 Roll To Win</t>
  </si>
  <si>
    <t>Force Upgrades</t>
  </si>
  <si>
    <t># Units Selected</t>
  </si>
  <si>
    <t>Min Roll for Success</t>
  </si>
  <si>
    <t>Target Cost</t>
  </si>
  <si>
    <t>Overrun Cost</t>
  </si>
  <si>
    <t>Target Tech Level</t>
  </si>
  <si>
    <t>Actual Cost</t>
  </si>
  <si>
    <t xml:space="preserve">Select Risk Level </t>
  </si>
  <si>
    <t>Round 3</t>
  </si>
  <si>
    <t>Round 1-2</t>
  </si>
  <si>
    <t>Round 1-3</t>
  </si>
  <si>
    <t>1 (Low)</t>
  </si>
  <si>
    <t>5 (High)</t>
  </si>
  <si>
    <t>1d6 Roll</t>
  </si>
  <si>
    <t>Retry Cost</t>
  </si>
  <si>
    <t># Force Types Selected</t>
  </si>
  <si>
    <t># Units/Selected</t>
  </si>
  <si>
    <t># Force Types Upgraded</t>
  </si>
  <si>
    <t>Min Roll</t>
  </si>
  <si>
    <t>Cost/Unit</t>
  </si>
  <si>
    <t>Overrun Cost/Unit</t>
  </si>
  <si>
    <t>Target Costs</t>
  </si>
  <si>
    <t>Risk #</t>
  </si>
  <si>
    <t>Yes/No</t>
  </si>
  <si>
    <t>Yes</t>
  </si>
  <si>
    <t>No</t>
  </si>
  <si>
    <t>Add't Enablers</t>
  </si>
  <si>
    <t>2d6 Roll for RC Capability Factor</t>
  </si>
  <si>
    <t>RC Capability Factor (1 = max)</t>
  </si>
  <si>
    <t>Sustainment Factor (1 = max)</t>
  </si>
  <si>
    <t>Enabler Requirement</t>
  </si>
  <si>
    <t>Lose</t>
  </si>
  <si>
    <t>Value of Units To Lose</t>
  </si>
  <si>
    <t>Priority Forces: Air Defense, Infantry</t>
  </si>
  <si>
    <t>Priority Forces: Aviation, Infantry</t>
  </si>
  <si>
    <t>Priority Forces: Aviation, Special Operations</t>
  </si>
  <si>
    <t>Priority Forces: Air Defense, Special Operations</t>
  </si>
  <si>
    <t xml:space="preserve">Meet Priority Force Reqmt? </t>
  </si>
  <si>
    <t>Grand Total Cost</t>
  </si>
  <si>
    <t>(includes forces + R&amp;D + upgrades)</t>
  </si>
  <si>
    <t>Crisis Outcome Table</t>
  </si>
  <si>
    <t>≥5</t>
  </si>
  <si>
    <t>Upgrade 1-2 force types</t>
  </si>
  <si>
    <t>Upgrade 3-5 force types</t>
  </si>
  <si>
    <t>Upgrade &gt;5 force types</t>
  </si>
  <si>
    <t>Procurement</t>
  </si>
  <si>
    <t>ARTY provides + 1 offense, AVN provides + 1 defense to paired ARM, INF, STR</t>
  </si>
  <si>
    <t>Scenario Names</t>
  </si>
  <si>
    <t>Select Crisis</t>
  </si>
  <si>
    <t>Power Ratio (1 = best)</t>
  </si>
  <si>
    <t>Info: Costs For Selected Forces</t>
  </si>
  <si>
    <t>Cancel Force Upgrade?</t>
  </si>
  <si>
    <t>Total in Force*</t>
  </si>
  <si>
    <t>Crisis Requirements</t>
  </si>
  <si>
    <t>Inputs and Factors</t>
  </si>
  <si>
    <t>Procurement Cost</t>
  </si>
  <si>
    <t>Min 1d6 Roll</t>
  </si>
  <si>
    <t>Research and Development (R&amp;D) Tables</t>
  </si>
  <si>
    <t>Risk Levels</t>
  </si>
  <si>
    <t>Lvl 2</t>
  </si>
  <si>
    <t>Lvl 3</t>
  </si>
  <si>
    <t>Retry Cost Table</t>
  </si>
  <si>
    <t>Force Capabilities Table</t>
  </si>
  <si>
    <t>Force Type</t>
  </si>
  <si>
    <t>Difference</t>
  </si>
  <si>
    <t>Technology Factor Table</t>
  </si>
  <si>
    <t>Min 2d6 Roll for Win</t>
  </si>
  <si>
    <t>Power Ratio</t>
  </si>
  <si>
    <t>Lvl 4</t>
  </si>
  <si>
    <t>Expedited (+2 Levels)?</t>
  </si>
  <si>
    <t>Info: Force Capabilities Table (includes any upgrades)</t>
  </si>
  <si>
    <t>Value Lost</t>
  </si>
  <si>
    <t>Build New</t>
  </si>
  <si>
    <t>*Totals include forces any retained from previous round</t>
  </si>
  <si>
    <t>**Force upgrades from any previous rounds carry over and are shaded in gray</t>
  </si>
  <si>
    <t>Select Any Force Upgrades**</t>
  </si>
  <si>
    <t>Gain 1 VP</t>
  </si>
  <si>
    <t>Disband Cost (% of O&amp;M Cost)</t>
  </si>
  <si>
    <t>Enabler Capability (enabler reqmt met per enabler unit)</t>
  </si>
  <si>
    <t>VP Conditions</t>
  </si>
  <si>
    <t>Gain 2 VPs</t>
  </si>
  <si>
    <t>Lose 2 VPs</t>
  </si>
  <si>
    <t>2d6 Roll for Crisis Outcome</t>
  </si>
  <si>
    <t>Each Enabler force meets 10 Enabler Requirement</t>
  </si>
  <si>
    <t>Roll</t>
  </si>
  <si>
    <t>7,12</t>
  </si>
  <si>
    <t>2-5,10</t>
  </si>
  <si>
    <t>Add't Enblr</t>
  </si>
  <si>
    <t>Defensive Campaign (vs. Peer Competitor)</t>
  </si>
  <si>
    <t>Offensive Campaign (vs. Peer Competitor)</t>
  </si>
  <si>
    <t>Priority Forces: Stryker, Air Defense</t>
  </si>
  <si>
    <t>Priority Forces: Armor, Artillery</t>
  </si>
  <si>
    <t>Missed By</t>
  </si>
  <si>
    <t>Retry Costs</t>
  </si>
  <si>
    <t>P (Roll ≤)</t>
  </si>
  <si>
    <t>P (Roll ≥)</t>
  </si>
  <si>
    <t>P(Roll 2d6)</t>
  </si>
  <si>
    <t>Actual P(2d6)</t>
  </si>
  <si>
    <t>Cumulative P(2d6)</t>
  </si>
  <si>
    <t>Rolls</t>
  </si>
  <si>
    <t xml:space="preserve">NOTE: Unless noted, tables in this sheet link to "List_Parameter Sheet". To change values, edit tables here. </t>
  </si>
  <si>
    <t>NOTE: NOT linked to table in List_Parameters sheet.</t>
  </si>
  <si>
    <t xml:space="preserve">NOTE: Unless noted, table data comes from "Tables" sheet. Use "Tables" sheet to edit values. </t>
  </si>
  <si>
    <t>NOTE: Edit power ratio data here (not linked to "Tables" sheet)</t>
  </si>
  <si>
    <t>Research and Development Table</t>
  </si>
  <si>
    <t>Set Parameters (linked to wargame calculator for all rounds)</t>
  </si>
  <si>
    <t>R&amp;D</t>
  </si>
  <si>
    <t>Force Upgrade</t>
  </si>
  <si>
    <t xml:space="preserve">Retry? </t>
  </si>
  <si>
    <t>First 1d6 Roll</t>
  </si>
  <si>
    <t>Retry 1d6 Roll</t>
  </si>
  <si>
    <t>Enabler Requirement*</t>
  </si>
  <si>
    <t>R&amp;D Retry</t>
  </si>
  <si>
    <t>(must have priority force qty ≥ round number + crisis tech level,</t>
  </si>
  <si>
    <t>If Steady State, ignore if ≤ 8, else lose ≥ 1 force)</t>
  </si>
  <si>
    <r>
      <t xml:space="preserve"> if not met, </t>
    </r>
    <r>
      <rPr>
        <sz val="11"/>
        <color rgb="FFFF0000"/>
        <rFont val="Calibri"/>
        <family val="2"/>
        <scheme val="minor"/>
      </rPr>
      <t>50% reduction</t>
    </r>
    <r>
      <rPr>
        <sz val="11"/>
        <color theme="1"/>
        <rFont val="Calibri"/>
        <family val="2"/>
        <scheme val="minor"/>
      </rPr>
      <t xml:space="preserve"> in net power due to capability gap)</t>
    </r>
  </si>
  <si>
    <t>+2 Offense</t>
  </si>
  <si>
    <t>+2 Defense</t>
  </si>
  <si>
    <t>-2 Enabler Req</t>
  </si>
  <si>
    <t>Select Technology Level Achieved</t>
  </si>
  <si>
    <t>Technology Factor (0.66-1.33)</t>
  </si>
  <si>
    <t>Readiness Factor (1 = max)</t>
  </si>
  <si>
    <t>Event</t>
  </si>
  <si>
    <t>Loss Factor</t>
  </si>
  <si>
    <t>Round actual power ratio down to nearest listed value</t>
  </si>
  <si>
    <t>Resource &amp; Score Summary</t>
  </si>
  <si>
    <t>(total includes any ad't enablers for selected crisis)</t>
  </si>
  <si>
    <t xml:space="preserve">Offensive </t>
  </si>
  <si>
    <t>Enabler Reqmt</t>
  </si>
  <si>
    <t>*Assumes O&amp;M, Sustainment, and RC Capability @ 100%</t>
  </si>
  <si>
    <t>Your Forces' Net Power*</t>
  </si>
  <si>
    <t>Totals**</t>
  </si>
  <si>
    <t>**Totals include any combined arms increases</t>
  </si>
  <si>
    <t>Info: Estimated Capabilities for Selected Forces (based on input values for O&amp;M, Sustainment, and RC Capability)</t>
  </si>
  <si>
    <t>Enabler Capblty</t>
  </si>
  <si>
    <t>Info: Maximum Capabilities for Selected Forces*</t>
  </si>
  <si>
    <t xml:space="preserve">Info: Costs for Force Upgrades </t>
  </si>
  <si>
    <t xml:space="preserve">Step 1: Select Research and Development </t>
  </si>
  <si>
    <t>Steps 3-4: Force Sizing  (Build, Disband, Lose) and Upgrades</t>
  </si>
  <si>
    <t>Expedited (+2 Levels)?*</t>
  </si>
  <si>
    <t>*Expedited R&amp;D requires at minimum risk level 3</t>
  </si>
  <si>
    <t>*Must be ≥ 0, over limit if negative (red)</t>
  </si>
  <si>
    <t>Crisis Outcome</t>
  </si>
  <si>
    <t>Scenario</t>
  </si>
  <si>
    <t>Reqt 1</t>
  </si>
  <si>
    <t>Reqt 2</t>
  </si>
  <si>
    <t>Selected 1</t>
  </si>
  <si>
    <t>Selected 2</t>
  </si>
  <si>
    <t>Meet Reqt?</t>
  </si>
  <si>
    <t>R1</t>
  </si>
  <si>
    <t>R2</t>
  </si>
  <si>
    <t>R3</t>
  </si>
  <si>
    <t>Quantity</t>
  </si>
  <si>
    <t>Expedited Risk</t>
  </si>
  <si>
    <t># Upgrades</t>
  </si>
  <si>
    <t>1-5</t>
  </si>
  <si>
    <t>5-10</t>
  </si>
  <si>
    <t>11-15</t>
  </si>
  <si>
    <t>16+</t>
  </si>
  <si>
    <t>IV</t>
  </si>
  <si>
    <t>Cost/Upgrade</t>
  </si>
  <si>
    <t>Rogue State</t>
  </si>
  <si>
    <t>Tech Level/Minimum 2d6 Roll for Success</t>
  </si>
  <si>
    <t>% Increase</t>
  </si>
  <si>
    <t>Miss By</t>
  </si>
  <si>
    <t>Force Upgrade Cost Overruns</t>
  </si>
  <si>
    <t># Upgrades Selected</t>
  </si>
  <si>
    <t>Expanded Table for VLOOKUP</t>
  </si>
  <si>
    <t>2d6 Miss By</t>
  </si>
  <si>
    <t>O&amp;M Buy Back Limit</t>
  </si>
  <si>
    <t>Max % Increase</t>
  </si>
  <si>
    <t>&gt;30</t>
  </si>
  <si>
    <t>Congressional Interests</t>
  </si>
  <si>
    <t># Units Upgraded</t>
  </si>
  <si>
    <t>R&amp;D Risks</t>
  </si>
  <si>
    <t>Standard Risk</t>
  </si>
  <si>
    <t>Select Risk Level*</t>
  </si>
  <si>
    <t>Cost Per Upgrade Per Unit</t>
  </si>
  <si>
    <t>QTY Upgrades * QTY Units</t>
  </si>
  <si>
    <t>Totals</t>
  </si>
  <si>
    <t>Required Force Types</t>
  </si>
  <si>
    <t>Force Requirements</t>
  </si>
  <si>
    <t>Tech Levels</t>
  </si>
  <si>
    <t>Minimum Force Quantity*</t>
  </si>
  <si>
    <t xml:space="preserve">* Minimum is at least one unit of each force priority type and combined quantity for both force types  ≥ minimum number in table. </t>
  </si>
  <si>
    <t>Crisis Priority Force Requirements</t>
  </si>
  <si>
    <t>Cyber Attack</t>
  </si>
  <si>
    <t>Reduce Roll By</t>
  </si>
  <si>
    <t>2-3</t>
  </si>
  <si>
    <t>4-5</t>
  </si>
  <si>
    <t>Selected Force Type</t>
  </si>
  <si>
    <t>3,4</t>
  </si>
  <si>
    <t>10,11</t>
  </si>
  <si>
    <t>2,6</t>
  </si>
  <si>
    <t>Build the Force (Phase 1)</t>
  </si>
  <si>
    <t>Actual Capabilities and Crisis Outcomes (Phase 2)</t>
  </si>
  <si>
    <t>L</t>
  </si>
  <si>
    <t>Not used in current version</t>
  </si>
  <si>
    <r>
      <t xml:space="preserve">BUILD THE FORCE </t>
    </r>
    <r>
      <rPr>
        <sz val="28"/>
        <rFont val="Impact"/>
        <family val="2"/>
      </rPr>
      <t>|</t>
    </r>
    <r>
      <rPr>
        <sz val="28"/>
        <color theme="9"/>
        <rFont val="Impact"/>
        <family val="2"/>
      </rPr>
      <t xml:space="preserve"> </t>
    </r>
    <r>
      <rPr>
        <sz val="28"/>
        <rFont val="Impact"/>
        <family val="2"/>
      </rPr>
      <t>WARGAME</t>
    </r>
    <r>
      <rPr>
        <sz val="28"/>
        <color theme="9"/>
        <rFont val="Impact"/>
        <family val="2"/>
      </rPr>
      <t xml:space="preserve"> </t>
    </r>
    <r>
      <rPr>
        <sz val="28"/>
        <rFont val="Impact"/>
        <family val="2"/>
      </rPr>
      <t>CALCULATOR</t>
    </r>
  </si>
  <si>
    <t>Round 1 | Round 1 | Round 1 | Round 1 | Round 1 | Round 1 | Round 1</t>
  </si>
  <si>
    <t>Round 3 | Round 3 | Round 3 | Round 3 | Round 3 | Round 3 | Round 3 | Round 3</t>
  </si>
  <si>
    <t>Round 2 | Round 2 | Round 2 | Round 2 | Round 2 | Round 2 | Round 2 | Round 2</t>
  </si>
  <si>
    <t>MILCON</t>
  </si>
  <si>
    <t>% Funded</t>
  </si>
  <si>
    <t>Failure Points</t>
  </si>
  <si>
    <t xml:space="preserve">MILPERS </t>
  </si>
  <si>
    <t xml:space="preserve">O&amp;M </t>
  </si>
  <si>
    <t>Shortform</t>
  </si>
  <si>
    <t>Requirement</t>
  </si>
  <si>
    <t>Unit Type</t>
  </si>
  <si>
    <t>Primary Service</t>
  </si>
  <si>
    <t>SOCOM Unit</t>
  </si>
  <si>
    <t>Total Cost/Direct Pax</t>
  </si>
  <si>
    <t>Total Cost Per Pax (All Types)</t>
  </si>
  <si>
    <t>Pax_Unit_Direct</t>
  </si>
  <si>
    <t>Pax_Unit_Indirect</t>
  </si>
  <si>
    <t>Pax_Unit_Overhead</t>
  </si>
  <si>
    <t>Pax_Unit_Total</t>
  </si>
  <si>
    <t>OS_Cost_Unit_Direct</t>
  </si>
  <si>
    <t>OS_Cost_Unit_Indirect</t>
  </si>
  <si>
    <t>OS_Cost_Unit_Overhead</t>
  </si>
  <si>
    <t>OS_Cost_Unit_Total</t>
  </si>
  <si>
    <t>Equipment_Cost_Unit</t>
  </si>
  <si>
    <t>QTY_Units_Baseline</t>
  </si>
  <si>
    <t>Cost_Total_Baseline</t>
  </si>
  <si>
    <t>Description</t>
  </si>
  <si>
    <t>Notes</t>
  </si>
  <si>
    <t>Active-Component Armored Brigade Combat Team</t>
  </si>
  <si>
    <t>Army</t>
  </si>
  <si>
    <t>The armored brigade combat team (ABCT) is the Army's primary armored force. The ABCT’s role is to close with the enemy using fire and movement to destroy or capture enemy forces, to repel enemy attacks by fire, to engage in close combat, and to counterattack to control land areas, including populations and resources. Each ABCT consists of seven battalions: three combined arms, one cavalry (reconnaissance), one artillery, one engineer and one brigade support battalion. It was designed around combined arms battalions that contain both M1 Abrams tanks and M2 Bradley infantry fighting vehicles. Other vehicles, such as HMMWVs and variants of the M113 armored personnel carrier, operate in a supporting role along with M109 howitzer artillery.</t>
  </si>
  <si>
    <t>Equipment costs estimated from Wikipedia. Baseline qty from CSL doctrine team</t>
  </si>
  <si>
    <t>National Guard Armored Brigade Combat Team</t>
  </si>
  <si>
    <t>Active-Component Stryker Brigade Combat Team</t>
  </si>
  <si>
    <t>The SBCT is an expeditionary combined arms force organized around mounted infantry. SBCT units operate effectively in most terrain and weather conditions due to their rapid strategic deployment and mobility. SBCTs balance combined arms capabilities with significant mobility. The SBCT primarily fights as a dismounted infantry formation that includes three SBCT infantry battalions. The SBCT infantry battalion has three SBCT infantry rifle companies each with three SBCT infantry rifle platoons. Each SBCT infantry rifle company has a section of organic 120-mm Stryker mortar carrier vehicles with 60-mm dismounted mortar capabilities, a sniper team and a mobile gun system platoon with three mobile gun system vehicles.</t>
  </si>
  <si>
    <t>National Guard Stryker Brigade Combat Team</t>
  </si>
  <si>
    <t>Active-Component Infantry Brigade Combat Team</t>
  </si>
  <si>
    <t>The IBCT is an expeditionary, combined arms formation optimized for dismounted operations in complex terrain—a geographical area consisting of an urban center larger than a village and/or of two or
more types of restrictive terrain or environmental conditions occupying the same space. Three infantry battalions serve as the IBCT’s primary maneuver force. The infantry battalions organize with a headquarters and headquarters company, three rifle companies, and a weapons company. The headquarters and headquarters company provides planning and intelligence, signal, and fire support to the battalion. The headquarters company has a battalion command section, a battalion staff section, a company headquarters, a battalion medical, scout, mortar and signal platoon, and a sniper squad.</t>
  </si>
  <si>
    <t>National Guard Infantry Brigade Combat Team</t>
  </si>
  <si>
    <t>Active-Component Aviation Brigade</t>
  </si>
  <si>
    <t>The core competencies of the CAB are to provide accurate and timely information collection; provide reaction time and maneuver space; destroy, defeat, disrupt, or delay enemy forces; air assault maneuver
forces; position personnel, supplies, and equipment; evacuate casualties and conduct personnel recovery (PR); and enable mission command in support of the combined arms team. The CAB is designed to be modular and tailorable, and is typically task organized as required to support offensive, defensive, and stability operations in support of ground maneuver forces or in support to civil authorities. The CAB is designed to split into four aviation maneuver battalions, or battalion/squadron task forces, and one aviation support battalion, based on mission.</t>
  </si>
  <si>
    <t>Reserve-Component Aviation Brigade</t>
  </si>
  <si>
    <t>Army Special Forces Group</t>
  </si>
  <si>
    <t>Includes special forces, psychological operations, civil affairs and supporting capabilities with expertise in  in tactics, combat advisor skills, military deception, sabotage and subversion, foreign language, relationship building
skills, and cultural understanding.</t>
  </si>
  <si>
    <t>Assume cost per Special Forces Group (7 groups per USASOC website) or CA/Psyops Command or Group (9 per USACAPOC website). Equipment cost is assumes 3x per capita greater than IBCT.</t>
  </si>
  <si>
    <t>Aircraft Carrier</t>
  </si>
  <si>
    <t>Navy</t>
  </si>
  <si>
    <t xml:space="preserve"> Aircraft carriers support and operate aircraft that engage in attacks on airborne, afloat, and ashore targets that threaten free use of the sea and engage in sustained power projection operations in support of U.S. and coalition forces. The aircraft carrier and its strike group also engage in maritime security operations to interdict threats to merchant shipping and prevent the use of the seas for terrorism and piracy. Aircraft carriers also provide unique capabilities for disaster response and humanitarian assistance. The embarked carrier air wing provides helicopters for direct support and C4I assets to support them and ensure aid is routed quickly and safely. </t>
  </si>
  <si>
    <t>Equipment cost from USNI citing CRS report: https://news.usni.org/2019/07/30/report-to-congress-on-gerald-r-ford-class-aircraft-carrier-program-3</t>
  </si>
  <si>
    <t>Carrier Air Wing</t>
  </si>
  <si>
    <t xml:space="preserve">The carrier air wing typically consists of over 40 fixed and rotary wing aircraft, including 4 fighter squadrons, 1 electronic attack squadron, 2 combat helicopter squadrons, and early warning and logistics aircraft. Aircraft carriers support and operate aircraft that engage in attacks on airborne, afloat, and ashore targets that threaten free use of the sea and engage in sustained power projection operations in support of U.S. and coalition forces. </t>
  </si>
  <si>
    <t>Equipment cost based on Wikipedia article on composition (4 squadrons of 12 FA-18 E/F, 5 EA-18Gs, 4 E-2Cs, 8 MH-60s, 11 MH-60Rs, 2 C-2As)</t>
  </si>
  <si>
    <t>Arleigh Burke Class Destroyer (DDG-51)</t>
  </si>
  <si>
    <t>Destroyers can operate independently or as part of carrier strike groups, surface action groups, expeditionary strike groups, and missile defense action groups. The Arleigh Burke class (DDG 51) destroyers replaced the Charles F. Adams class (DDG 2). The Arleigh Burke class was designed with an all-new hull form, incorporating much of the Spruance class (DD 963) destroyer propulsion and machinery plant, and the integrated Aegis Weapons System (AWS) proven on the Kidd class (DD 993) destroyers and installed on the larger Ticonderoga class cruisers. AWS is composed of a multi-function phased array radar, advanced AAW and ASW systems, VLS, and the Tomahawk Weapon System. DDG 51 was commissioned on July 4, 1991, and the class is still in production. Over the decades the class has been continuously upgraded with advanced sensors and weapons and improved support systems.</t>
  </si>
  <si>
    <t xml:space="preserve">Equipment cost from FY20 OSD Budget Request </t>
  </si>
  <si>
    <t>Ticonderoga Class Cruiser (CG-47)</t>
  </si>
  <si>
    <t xml:space="preserve">Modern U.S. Navy guided-missile cruisers perform primarily in a Battle Force role. These ships are multi-mission Air Warfare (AW), Undersea Warfare (USW), Naval Surface Fire Support (NSFS) and Surface Warfare (SUW) surface combatants capable of supporting carrier battle groups, amphibious forces or operating independently and as flagships of surface action groups. Cruisers are equipped with Tomahawk cruise missiles giving them additional long range strike warfare capability. Some Aegis Cruisers have been outfitted with a Ballistic Missile Defense (BMD) capability. </t>
  </si>
  <si>
    <t xml:space="preserve">Equipment cost from USN fact file </t>
  </si>
  <si>
    <t>Littoral Combat Ship</t>
  </si>
  <si>
    <t xml:space="preserve">LCS is a fast, agile, mission-focused- platform designed for operation in near-shore environments yet capable of open-ocean operation. It is designed to defeat asymmetric "anti-access" threats such as mines, quiet diesel submarines and fast surface craft. LCS are outfitted with reconfigurable payloads called mission modules (made up of mission systems and support equipment), which can be changed out quickly. These modules combine with crew detachments and aviation assets to become complete mission packages that deploy manned and unmanned vehicles and sensors in support of mine countermeasures, anti-submarine warfare or surface warfare missions. 
</t>
  </si>
  <si>
    <t>Zumwalt Class Destroyer (DDG-1000)</t>
  </si>
  <si>
    <t xml:space="preserve">Destroyers can operate independently or as part of carrier strike groups, surface action groups, expeditionary strike groups, and missile defense action groups. The multi-mission DDG 1000 is tailored for sustained operations in the littorals and land attack, and will provide independent forward presence and deterrence, support special operations forces, and operate as an integral part of joint and combined expeditionary forces. Its multi-mission design and littoral capabilities make it a 100 percent globally deployable asset to the Fleet.
</t>
  </si>
  <si>
    <t>Equipment cost from Wikipedia citing 2016 US Naval Institute Report</t>
  </si>
  <si>
    <t>Attack Submarine (SSN)</t>
  </si>
  <si>
    <t xml:space="preserve">Attack submarines are designed to seek and destroy enemy submarines and surface ships; project power ashore with Tomahawk cruise missiles and Special Operation Forces (SOF); carry out Intelligence, Surveillance and Reconnaissance (ISR) missions; support battle group operations; and engage in mine warfare. The Navy continues to build the next-generation attack submarine, the Virginia (SSN 774) class which has has several innovations that significantly enhance its warfighting capabilities with an emphasis on littoral operations. 
</t>
  </si>
  <si>
    <t>Equipment cost from FY20 OSD Budget Request  ( for Virginia class)</t>
  </si>
  <si>
    <t>Amphibious Ship</t>
  </si>
  <si>
    <t xml:space="preserve">The largest of all amphibious warfare ships; resembles a small aircraft carrier; capable of Vertical/Short Take-Off and Landing (V/STOL), Short Take-Off Vertical Landing (STOVL), Vertical Take-Off and Landing (VTOL) tilt-rotor and Rotary Wing (RW) aircraft operations; contains a well deck to support use of Landing Craft, Air Cushion (LCAC) and other watercraft (with exception of the first two LHA(R) class ships, LHA 6 and LHA 7, which have no well deck). LHA 8 will feature a well deck. </t>
  </si>
  <si>
    <t>Active-Component Marine Corps Infantry Battalion</t>
  </si>
  <si>
    <t>Marines</t>
  </si>
  <si>
    <t>The primary mission of the infantry battalion is to locate, close with, and destroy the enemy by fire and maneuver or to repel his assault by fire and close combat. The infantry battalion consists of an headquarters and service (H&amp;S) company, a weapons company, and three rifle companies.</t>
  </si>
  <si>
    <t>Assume equipment costs equivalent to US Army IBCT on per capita basis</t>
  </si>
  <si>
    <t>Reserve-Component Marine Corps Infantry Battalion</t>
  </si>
  <si>
    <t>Marine Corps Aircraft Group</t>
  </si>
  <si>
    <t xml:space="preserve">The primary mission of Marine Corps aviation is to participate as the air component of the MAGTF in the seizure and defense of advance naval bases and to conduct such land operations as may be essential for the prosecution of a naval campaign. Consists of 2-10 squadrons with fixed, rotary, and unmanned combat and support aircraft. </t>
  </si>
  <si>
    <t>Guided Missile Submarine (SSGN)</t>
  </si>
  <si>
    <t xml:space="preserve">Ohio-class guided-missile submarines (SSGN) provide the Navy with unprecedented strike and special operation mission capabilities from a stealthy, clandestine platform. Armed with tactical missiles and equipped with superior communications capabilities, SSGNs are capable of directly supporting Combatant Commander's strike and Special Operation Forces (SOF) requirements. 
</t>
  </si>
  <si>
    <t>https://www.navy.mil/navydata/fact_display.asp?cid=4100&amp;tid=300&amp;ct=4</t>
  </si>
  <si>
    <t>Ballistic Missile Submarine (SSBN)</t>
  </si>
  <si>
    <t xml:space="preserve">The Navy's ballistic missile submarines, often referred to as "boomers," serve as an undetectable launch platform for submarine-launched ballistic missiles (SLBMs). They are designed specifically for stealth and the precise delivery of nuclear warheads. Since the 1960s, strategic deterrence has been the SSBN's sole mission, providing the United States with its most survivable and enduring nuclear strike capability. Each of the 14 Ohio-class SSBNs originally carried up to 24 SLBMs with multiple, independently-targeted warheads. However, under provisions of the New Strategic Arms Reduction Treaty, each submarine has had four of its missile tubes permanently deactivated and now carry a maximum of 20 missiles. The SSBN's strategic weapon is the Trident II D5 missile, which provides increased range and accuracy over the now out-of-service Trident I C4 missile.
</t>
  </si>
  <si>
    <t>https://www.navy.mil/navydata/fact_display.asp?cid=4100&amp;tid=200&amp;ct=4</t>
  </si>
  <si>
    <t>P-3 and P-8 Maritime Patrol Aircraft Squadron</t>
  </si>
  <si>
    <t xml:space="preserve">The P-8A Poseidon, the Navy's newest maritime, patrol and reconnaissance aircraft, is a multi-mission capable replacement aircraft for the legacy P-3C Orion. The P-8A is a modified Boeing 737-800ERX, bringing together a highly reliable airframe and high-bypass turbo fan jet engine with a fully connected, state-of-the-art open architecture mission system. This combination, coupled with next-generation sensors, will dramatically improve anti-submarine warfare (ASW) and anti-surface warfare (ASuW) capabilities. The P3-C is a four-engine turboprop anti-submarine and maritime surveillance aircraft. Its long range and long loiter time have proved invaluable assets during Operation Iraqi Freedom as it can view the battlespace and instantaneously provide that information to ground troops, especially U.S. Marines. </t>
  </si>
  <si>
    <t xml:space="preserve">Equipment cost from for P-3 from USN fact file. $228M for P-8 from OSD FY19 budget request. CBO dataset based on 12 a/c per squadron. Assume 6 of each. </t>
  </si>
  <si>
    <t>Seabee Naval Construction Battalion</t>
  </si>
  <si>
    <t xml:space="preserve">Seabees provide a wide range of military construction including roads, bridges, bunkers, airfields and logistics bases. Navy Expeditionary Combat Command's (NEC) Seabee units adopt to mission requirements of being scalable and agile. Seabees provide military support for disaster preparation and recovery, including assistance to civilian agencies. They are capable of protecting their projects and themselves around the world. In addition, Seabees complete civic action projects that complement notion building programs and are known for their worldwide humanitarian efforts. </t>
  </si>
  <si>
    <t>Assume cost per Naval Construction Battalion (NMCB). Per USN website 3Oct18, there are 13 NMCBs. Equipment cost is assumes 1.5x per capita greater than IBCT.</t>
  </si>
  <si>
    <t>Navy Special Warfare Group</t>
  </si>
  <si>
    <t>NSW is postured to fight a globally-dispersed enemy, whether ashore or afloat, before they can act. NSW forces can operate in small groups and have a continuous presence overseas with their ability to quickly deploy from Navy ships, submarines and aircraft, overseas bases and forward-based units.  The proven ability of NSW forces to operate across the spectrum of conflict and in operations other than war, and provide real-time, first-hand intelligence offer decision makers immediate and multiple options in the face of rapidly changing crises around the world.</t>
  </si>
  <si>
    <t>Assume O&amp;S cost per Group based on 7 Naval Special Warfare Groups on Wikipedia. Assume equipment costs equivalent per capita to Army SF Group.</t>
  </si>
  <si>
    <t>Marine Corps Raider Battalion</t>
  </si>
  <si>
    <t>Marines and Sailors of Marine Raider Battalions train, advise, and assist friendly host nation forces - including naval and maritime military and paramilitary forces - to enable them to support their governments' internal security and stability, to counter subversion and to reduce the risk of violence from internal and external threats. Deployments are coordinated by MARSOC, through USSOCOM, in accordance with engagement priorities for Overseas Contingency Operations.</t>
  </si>
  <si>
    <t>Assume O&amp;S cost per unit based on 3 battalions listed on MARSOC website. Assume equipment costs equivalent per capita to Army SF Group.</t>
  </si>
  <si>
    <t>A-10 Attack Aircraft Squadron</t>
  </si>
  <si>
    <t>Air Force</t>
  </si>
  <si>
    <t>The A-10 Thunderbolt II has excellent maneuverability at low air speeds and altitude, and is a highly accurate and survivable weapons-delivery platform. The aircraft can loiter near battle areas for extended periods of time and operate in low ceiling and visibility conditions. The wide combat radius and short takeoff and landing capability permit operations in and out of locations near front lines.</t>
  </si>
  <si>
    <t>F-15 Fighter Aircraft Squadron</t>
  </si>
  <si>
    <t>The F-15E Strike Eagle is a dual-role fighter designed to perform air-to-air and air-to-ground missions. An array of avionics and electronics systems gives the F-15E the capability to fight at low altitude, day or night, and in all weather.</t>
  </si>
  <si>
    <t>F-16 Fighter Aircraft Squadron</t>
  </si>
  <si>
    <t>The F-16 Fighting Falcon is a compact, multi-role fighter aircraft. It is highly maneuverable and has proven itself in air-to-air combat and air-to-surface attack. It provides a relatively low-cost, high-performance weapon system for the United States and allied nations.</t>
  </si>
  <si>
    <t>F-22 Fighter Aircraft Squadron</t>
  </si>
  <si>
    <t>The F-22 Raptor's combination of stealth, supercruise, maneuverability, and integrated avionics, coupled with improved supportability, represents an exponential leap in warfighting capabilities. The Raptor performs both air-to-air and air-to-ground missions allowing full realization of operational concepts vital to the 21st century Air Force.</t>
  </si>
  <si>
    <t>F-35 Fighter Aircraft Squadron</t>
  </si>
  <si>
    <t>The F-35A is the U.S. Air Force’s latest fifth-generation fighter. It will replace the U.S. Air Force’s aging fleet of F-16 Fighting Falcons and A-10 Thunderbolt II’s, which have been the primary fighter aircraft for more than 20 years, and bring with it an enhanced capability to survive in the advanced threat environment in which it was designed to operate. With its aerodynamic performance and advanced integrated avionics, the F-35A will provide next-generation stealth, enhanced situational awareness, and reduced vulnerability for the United States and allied nations.</t>
  </si>
  <si>
    <t>Aircraft cost from FY19 OSD Budget request. CBO dataset based on 12 a/c per squadron.</t>
  </si>
  <si>
    <t>B-52 Bomber Aircraft Squadron</t>
  </si>
  <si>
    <t>The B-52 is a long-range, heavy bomber that can perform a variety of missions. The bomber is capable of flying at high subsonic speeds at altitudes up to 50,000 feet (15,166.6 meters). It can carry nuclear or precision guided conventional ordnance with worldwide precision navigation capability.</t>
  </si>
  <si>
    <t>B-1B Bomber Aircraft Squadron</t>
  </si>
  <si>
    <t xml:space="preserve">The multi-mission B-1 is the backbone of America's long-range bomber force. Carrying the largest conventional payload of both guided and unguided weapons in the Air Force inventory, it can rapidly deliver massive quantities of precision and non-precision weapons against any adversary, anywhere in the world, at any time. </t>
  </si>
  <si>
    <t>B-2 Bomber Aircraft Squadron</t>
  </si>
  <si>
    <t>The B-2 Spirit is a multi-role bomber capable of delivering both conventional and nuclear munitions. A dramatic leap forward in technology, the bomber represents a major milestone in the U.S. bomber modernization program. The B-2 brings massive firepower to bear, in a short time, anywhere on the globe through previously impenetrable defenses.</t>
  </si>
  <si>
    <t>C-130 Cargo Aircraft Squadron</t>
  </si>
  <si>
    <t>The C-130 Hercules primarily performs the tactical portion of the airlift mission. The aircraft is capable of operating from rough, dirt strips and is the prime transport for airdropping troops and equipment into hostile areas. The C-130 operates throughout the U.S. Air Force, serving with Air Mobility Command, Air Force Special Operations Command, Air Combat Command, U.S. Air Forces in Europe, Pacific Air Forces, Air National Guard and the Air Force Reserve Command, fulfilling a wide range of operational missions in both peace and war situations. Basic and specialized versions of the aircraft airframe perform a diverse number of roles, including airlift support, Antarctic ice resupply, aeromedical missions, weather reconnaissance, aerial spray missions, firefighting duties for the U.S. Forest Service and natural disaster relief missions.</t>
  </si>
  <si>
    <t>C-5 Cargo Aircraft Squadron</t>
  </si>
  <si>
    <t>The C-5M Super Galaxy is a strategic transport aircraft and is the largest aircraft in the Air Force inventory. Its primary mission is to transport cargo and personnel for the Department of Defense. The C-5M is a modernized version of the legacy C-5 designed and manufactured by Lockheed Martin.</t>
  </si>
  <si>
    <t>C-17 Cargo Aircraft Squadron</t>
  </si>
  <si>
    <t>The C-17 Globemaster III is the most flexible cargo aircraft to enter the airlift force. The C-17 is capable of rapid strategic delivery of troops and all types of cargo to main operating bases or directly to forward bases in the deployment area. The aircraft can perform tactical airlift and airdrop missions and can transport litters and ambulatory patients during aeromedical evacuations. The inherent flexibility and performance of the C-17 force improve the ability of the total airlift system to fulfill the worldwide air mobility requirements of the United States.</t>
  </si>
  <si>
    <t>KC-135 Tanker Aircraft Squadron</t>
  </si>
  <si>
    <t>The KC-135 Stratotanker provides the core aerial refueling capability for the United States Air Force and has excelled in this role for more than 60 years. This unique asset enhances the Air Force's capability to accomplish its primary mission of global reach. It also provides aerial refueling support to Air Force, Navy, Marine Corps and allied nation aircraft. The KC-135 is also capable of transporting litter and ambulatory patients using patient support pallets during aeromedical evacuations.</t>
  </si>
  <si>
    <t>KC-10 Tanker Aircraft Squadron</t>
  </si>
  <si>
    <t>The KC-10 Extender is an Air Mobility Command advanced tanker and cargo aircraft designed to provide increased global mobility for U.S. armed forces. Although the KC-l0's primary mission is aerial refueling, it can combine the tasks of a tanker and cargo aircraft by refueling fighters and simultaneously carry the fighter support personnel and equipment on overseas deployments. The KC-10 is also capable of transporting litter and ambulatory patients using patient support pallets during aeromedical evacuations.</t>
  </si>
  <si>
    <t>KC-46 Tanker Aircraft Squadron</t>
  </si>
  <si>
    <t>The KC-46A is the first phase of a 3-phase effort to replace the U.S. Air Force's aging tanker fleet. With more refueling capacity and enhanced capabilities, improved efficiency and increased capabilities for cargo and aeromedical evacuation, the KC-46A will provide aerial refueling support to the Air Force, Navy, Marine Corps as well as allied nation coalition force aircraft.</t>
  </si>
  <si>
    <t>RQ-4 "Global Hawk" UAS Squadron</t>
  </si>
  <si>
    <t xml:space="preserve">The RQ-4 Global Hawk is a high-altitude, long-endurance, remotely piloted aircraft with an integrated sensor suite that provides global all-weather, day or night intelligence, surveillance and reconnaissance (ISR) capability. Global Hawk's mission is to provide a broad spectrum of ISR collection capability to support joint combatant forces in worldwide peacetime, contingency and wartime operations. The Global Hawk provides persistent near-real-time coverage using imagery intelligence (IMINT), signals intelligence (SIGINT) and moving target indicator (MTI) sensors. </t>
  </si>
  <si>
    <t>MQ-9 "Reaper" UAS Squadron</t>
  </si>
  <si>
    <t xml:space="preserve">The MQ-9 Reaper is an armed, multi-mission, medium-altitude, long-endurance remotely piloted aircraft that is employed primarily against dynamic execution targets and secondarily as an intelligence collection asset. Given its significant loiter time, wide-range sensors, multi-mode communications suite, and precision weapons -- it provides a unique capability to perform strike, coordination, and reconnaissance against high-value, fleeting, and time-sensitive targets. Reapers can also perform the following missions and tasks: intelligence, surveillance, reconnaissance, close air support, combat search and rescue, precision strike, buddy-lase, convoy/raid overwatch, target development, and terminal air guidance. The MQ-9's capabilities make it uniquely qualified to conduct irregular warfare operations in support of combatant commander objectives. </t>
  </si>
  <si>
    <t>Minuteman III Missile Squadron</t>
  </si>
  <si>
    <t>The LGM-30G Minuteman intercontinental ballistic missile, or ICBM, is an element of the nation's strategic deterrent forces under the control of the Air Force Global Strike Command. The Minuteman is a strategic weapon system using a ballistic missile of intercontinental range. Missiles are dispersed in hardened silos to protect against attack and connected to an underground launch control center through a system of hardened cables. Launch crews, consisting of two officers, perform around-the-clock alert in the launch control center.</t>
  </si>
  <si>
    <t>Baseline qty from CBO 2019 data</t>
  </si>
  <si>
    <t>RED HORSE Construction Engineer Squadron</t>
  </si>
  <si>
    <t xml:space="preserve">Rapid Engineer Deployable Heavy Operational Repair Squadron Engineer (RED HORSE) squadrons are the United States Air Force's heavy-construction units. RED HORSE squadrons provide the Air Force with a highly mobile civil engineering response force to support contingency and special operations worldwide. Units are self-sufficient mobile squadrons, capable of rapid response and independent operations in remote, high-threat environments worldwide. They provide heavy-repair capability and construction support when requirements exceed normal base civil engineer (Prime BEEF) capabilities and where U.S. Army engineer support is not readily available. </t>
  </si>
  <si>
    <t>Assume costs based on 15 squadrons (Wikipedia article citing 2012 USAF data). Equipment cost is assumes 1.5x per capita greater than IBCT.</t>
  </si>
  <si>
    <t>Air Force Special Operations Wing</t>
  </si>
  <si>
    <t xml:space="preserve">Provides Air Force special operations forces for worldwide deployment and assignment to regional unified commands. Composed of highly trained, rapidly deployable Airmen, conducting global special operations missions ranging from precision application of firepower to infiltration, exfiltration, resupply and refueling of SOF operational elements. Core missions include battlefield air operations, agile combat support, aviation foreign internal defense, information operations/military support operations, precision strike, specialized air mobility; command and control; and intelligence, surveillance and reconnaissance. Unique capabilities include airborne radio and television broadcast for psychological operations, as well as aviation foreign internal defense instructors to provide other governments military expertise for their internal development. The command's special tactics squadrons combine combat controllers, tactical air control party members, special operations weathermen and pararescuemen with other service SOF to form versatile joint special operations teams. </t>
  </si>
  <si>
    <t>Assume costs based on 9 Special Operations Wings and 1 Group listed on AFSOC website</t>
  </si>
  <si>
    <t>Cyber Mission Force (CMF) Team</t>
  </si>
  <si>
    <t xml:space="preserve">Cyber mission force (CMF) teams provide a range of specialized capabilities in defense of the nation's interests. The teams are generally assigned one of four primary roles (national missions, combat missions, protection, or support). Cyber national mission teams defend the nation by identifying adversary activity, blocking attacked and maneuvering to defeat them. Cyber combat mission teams conduct military cyberspace operations in support of combatant commander priorities and missions. Cyber protection teams defend DoD’s information network, protect priority missions and prepare cyber forces for combat. Cyber support teams provide analytic and planning support to national mission and combat mission teams. </t>
  </si>
  <si>
    <t>Descriptions from: https://www.defense.gov/Newsroom/News/Article/Article/1524747/cyber-mission-force-achieves-full-operational-capability/</t>
  </si>
  <si>
    <t xml:space="preserve">Cyber teams provide a range of specialized capabilities in defense of the nation's interests. The teams are generally assigned one of four primary roles (national missions, combat missions, protection, or support). Cyber national mission teams defend the nation by identifying adversary activity, blocking attacked and maneuvering to defeat them. Cyber combat mission teams conduct military cyberspace operations in support of combatant commander priorities and missions. Cyber protection teams defend DoD’s information network, protect priority missions and prepare cyber forces for combat. Cyber support teams provide analytic and planning support to national mission and combat mission teams. </t>
  </si>
  <si>
    <t>AC Average</t>
  </si>
  <si>
    <t>RC Average</t>
  </si>
  <si>
    <t>RC/AC Cost Differences</t>
  </si>
  <si>
    <t>RC/AC</t>
  </si>
  <si>
    <t>% Savings</t>
  </si>
  <si>
    <t>Average</t>
  </si>
  <si>
    <t>Cost Per Pax (AC, All Types)</t>
  </si>
  <si>
    <t>Cost Per Direct Pax</t>
  </si>
  <si>
    <t>Step 2:  Set Readiness Funding</t>
  </si>
  <si>
    <t>Readiness Cost</t>
  </si>
  <si>
    <t>Readiness Costs</t>
  </si>
  <si>
    <t>Readiness Failure Points</t>
  </si>
  <si>
    <t>Overall % Funded*</t>
  </si>
  <si>
    <t>*This is the readiness factor for the combat power calculation</t>
  </si>
  <si>
    <t>MILCON (Military Construction)</t>
  </si>
  <si>
    <t>MILPERS (Military Personnel)</t>
  </si>
  <si>
    <t>O&amp;M (Operations and Maintenance)</t>
  </si>
  <si>
    <t>Procurement (other than new forces)</t>
  </si>
  <si>
    <t>Min 2d6 Roll</t>
  </si>
  <si>
    <t>Actual 2d6 Roll</t>
  </si>
  <si>
    <t>Crisis Failure Points</t>
  </si>
  <si>
    <t>Readiness Minimum Roll</t>
  </si>
  <si>
    <t>Readiness Events</t>
  </si>
  <si>
    <t>Corruption Scandal</t>
  </si>
  <si>
    <t xml:space="preserve">Sub-Standard Housing </t>
  </si>
  <si>
    <t>Pro-Military Blockbuster</t>
  </si>
  <si>
    <t>Booming Economy</t>
  </si>
  <si>
    <t>Weak Economy</t>
  </si>
  <si>
    <t>Pro</t>
  </si>
  <si>
    <t>Con</t>
  </si>
  <si>
    <t>Training Accidents</t>
  </si>
  <si>
    <t>Restricted Training Environment</t>
  </si>
  <si>
    <t>Permissive Training Environment</t>
  </si>
  <si>
    <t>Infrastructure Crisis</t>
  </si>
  <si>
    <t>Supply Chain Crisis</t>
  </si>
  <si>
    <t>Effect</t>
  </si>
  <si>
    <t>-O&amp;M</t>
  </si>
  <si>
    <t>+ O&amp;M</t>
  </si>
  <si>
    <t>-MILPERS</t>
  </si>
  <si>
    <t>-Procurement</t>
  </si>
  <si>
    <t>-MILCON</t>
  </si>
  <si>
    <t>+Procurement</t>
  </si>
  <si>
    <t>+ Procurement</t>
  </si>
  <si>
    <t>Weaken Economy</t>
  </si>
  <si>
    <t>Pro-Military Sentiment</t>
  </si>
  <si>
    <t>Anti-Military Sentiment</t>
  </si>
  <si>
    <t>Public Opinion</t>
  </si>
  <si>
    <t>Supply Chain</t>
  </si>
  <si>
    <t>Training Environment</t>
  </si>
  <si>
    <t>Corruption and Scandals</t>
  </si>
  <si>
    <t xml:space="preserve">Infrastructure </t>
  </si>
  <si>
    <t>Health and Quality of Life</t>
  </si>
  <si>
    <t>+MILPERS</t>
  </si>
  <si>
    <t>+MILCON</t>
  </si>
  <si>
    <t>+Procurement,+O&amp;M</t>
  </si>
  <si>
    <t>-Procurement,-O&amp;M</t>
  </si>
  <si>
    <t>+MILPERS, +MILCON</t>
  </si>
  <si>
    <t>-MILPERS, -MILCON</t>
  </si>
  <si>
    <t xml:space="preserve"> -Procurement, </t>
  </si>
  <si>
    <t>Total Failure Points</t>
  </si>
  <si>
    <t>(Readiness)</t>
  </si>
  <si>
    <t>Readiness</t>
  </si>
  <si>
    <t>RC Readiness Cost (% of AC Cost)</t>
  </si>
  <si>
    <t>Capability Shortfall Penalty</t>
  </si>
  <si>
    <t>Info: Estimated Actual Capabilities for Selected Forces (based on input values for Readiness, Sustainment, and RC Capability)</t>
  </si>
  <si>
    <t>Readiness Cost: [Total (MILCON, MILPERS, O&amp;M, Other Procurement)</t>
  </si>
  <si>
    <t>*Assumes Readiness, Sustainment, and RC Capability @ 100%</t>
  </si>
  <si>
    <t>*Actual power based on input readiness, sustainment,</t>
  </si>
  <si>
    <t>Info: Estimated Capabilities for Selected Forces (based on input values for Readiness, Sustainment, and RC Capability)</t>
  </si>
  <si>
    <r>
      <rPr>
        <b/>
        <sz val="14"/>
        <color theme="1"/>
        <rFont val="Calibri"/>
        <family val="2"/>
        <scheme val="minor"/>
      </rPr>
      <t>INSTRUCTIONS</t>
    </r>
    <r>
      <rPr>
        <b/>
        <sz val="12"/>
        <color theme="1"/>
        <rFont val="Calibri"/>
        <family val="2"/>
        <scheme val="minor"/>
      </rPr>
      <t xml:space="preserve">
</t>
    </r>
    <r>
      <rPr>
        <b/>
        <sz val="12"/>
        <color theme="7" tint="-0.249977111117893"/>
        <rFont val="Calibri"/>
        <family val="2"/>
        <scheme val="minor"/>
      </rPr>
      <t xml:space="preserve">Enter decisions into yellow-shaded cells (leave blank if zero or none). </t>
    </r>
    <r>
      <rPr>
        <b/>
        <sz val="12"/>
        <color theme="4"/>
        <rFont val="Calibri"/>
        <family val="2"/>
        <scheme val="minor"/>
      </rPr>
      <t>Enter results of die rolls (or estimates) into blue cells.</t>
    </r>
    <r>
      <rPr>
        <b/>
        <sz val="12"/>
        <color theme="1"/>
        <rFont val="Calibri"/>
        <family val="2"/>
        <scheme val="minor"/>
      </rPr>
      <t xml:space="preserve"> </t>
    </r>
    <r>
      <rPr>
        <b/>
        <sz val="12"/>
        <color theme="6"/>
        <rFont val="Calibri"/>
        <family val="2"/>
        <scheme val="minor"/>
      </rPr>
      <t xml:space="preserve">Values in gray cells are calculated automatically. </t>
    </r>
    <r>
      <rPr>
        <b/>
        <sz val="12"/>
        <color rgb="FFFF0000"/>
        <rFont val="Calibri"/>
        <family val="2"/>
        <scheme val="minor"/>
      </rPr>
      <t xml:space="preserve">Cost and failure point totals shown in red cells. </t>
    </r>
  </si>
  <si>
    <t>Disband Cost = 50% of Readiness Cost</t>
  </si>
  <si>
    <t>and RC capability factors and any priority force shortfall penalty</t>
  </si>
  <si>
    <t>RC capability factor, and any priority force shortfall penalty</t>
  </si>
  <si>
    <t>Crisis</t>
  </si>
  <si>
    <t>Miss
 By</t>
  </si>
  <si>
    <t>Readi-
ness</t>
  </si>
  <si>
    <t>Crisis Multiplier (x Readiness)</t>
  </si>
  <si>
    <t>Failure Points (Crisis)</t>
  </si>
  <si>
    <t>Total Losses</t>
  </si>
  <si>
    <t>Tie Breakers for Final Scoring</t>
  </si>
  <si>
    <t>Avg Net Power</t>
  </si>
  <si>
    <t>Funding Allocated</t>
  </si>
  <si>
    <t>Funding Remaining*</t>
  </si>
  <si>
    <t>Step 3: Select Forces</t>
  </si>
  <si>
    <t xml:space="preserve">Step 4: Select Any Force Upgrades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</si>
</sst>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00"/>
    <numFmt numFmtId="165" formatCode="0.0"/>
    <numFmt numFmtId="166" formatCode="&quot;$&quot;#,##0.00"/>
    <numFmt numFmtId="167" formatCode="\$#,##0.00;\(\$#,##0.00\)"/>
  </numFmts>
  <fonts count="33" x14ac:knownFonts="1">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11"/>
      <color theme="0"/>
      <name val="Calibri"/>
      <family val="2"/>
      <scheme val="minor"/>
    </font>
    <font>
      <b/>
      <sz val="1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2"/>
      <name val="Calibri"/>
      <family val="2"/>
      <scheme val="minor"/>
    </font>
    <font>
      <sz val="12"/>
      <name val="Calibri"/>
      <family val="2"/>
      <scheme val="minor"/>
    </font>
    <font>
      <b/>
      <sz val="12"/>
      <color rgb="FFFF0000"/>
      <name val="Calibri"/>
      <family val="2"/>
      <scheme val="minor"/>
    </font>
    <font>
      <sz val="28"/>
      <color theme="9"/>
      <name val="Impact"/>
      <family val="2"/>
    </font>
    <font>
      <sz val="28"/>
      <name val="Impact"/>
      <family val="2"/>
    </font>
    <font>
      <sz val="11"/>
      <color rgb="FFFF0000"/>
      <name val="Calibri"/>
      <family val="2"/>
      <scheme val="minor"/>
    </font>
    <font>
      <b/>
      <sz val="14"/>
      <color rgb="FF00B050"/>
      <name val="Calibri"/>
      <family val="2"/>
      <scheme val="minor"/>
    </font>
    <font>
      <b/>
      <sz val="48"/>
      <color theme="1"/>
      <name val="Calibri"/>
      <family val="2"/>
      <scheme val="minor"/>
    </font>
    <font>
      <b/>
      <sz val="16"/>
      <color theme="0"/>
      <name val="Calibri"/>
      <family val="2"/>
      <scheme val="minor"/>
    </font>
    <font>
      <sz val="14"/>
      <color theme="1"/>
      <name val="Calibri"/>
      <family val="2"/>
      <scheme val="minor"/>
    </font>
    <font>
      <b/>
      <sz val="14"/>
      <color theme="0"/>
      <name val="Calibri"/>
      <family val="2"/>
      <scheme val="minor"/>
    </font>
    <font>
      <b/>
      <sz val="12"/>
      <color theme="7" tint="-0.249977111117893"/>
      <name val="Calibri"/>
      <family val="2"/>
      <scheme val="minor"/>
    </font>
    <font>
      <b/>
      <sz val="12"/>
      <color theme="4"/>
      <name val="Calibri"/>
      <family val="2"/>
      <scheme val="minor"/>
    </font>
    <font>
      <b/>
      <sz val="12"/>
      <color theme="6"/>
      <name val="Calibri"/>
      <family val="2"/>
      <scheme val="minor"/>
    </font>
    <font>
      <sz val="10"/>
      <color theme="1"/>
      <name val="Calibri"/>
      <family val="2"/>
      <scheme val="minor"/>
    </font>
    <font>
      <b/>
      <sz val="10"/>
      <color theme="0"/>
      <name val="Calibri"/>
      <family val="2"/>
      <scheme val="minor"/>
    </font>
    <font>
      <b/>
      <sz val="14"/>
      <color theme="8"/>
      <name val="Calibri"/>
      <family val="2"/>
      <scheme val="minor"/>
    </font>
    <font>
      <sz val="14"/>
      <color rgb="FFFF0000"/>
      <name val="Calibri"/>
      <family val="2"/>
      <scheme val="minor"/>
    </font>
    <font>
      <b/>
      <sz val="14"/>
      <color theme="4"/>
      <name val="Calibri"/>
      <family val="2"/>
      <scheme val="minor"/>
    </font>
    <font>
      <b/>
      <sz val="22"/>
      <color theme="0"/>
      <name val="Calibri"/>
      <family val="2"/>
      <scheme val="minor"/>
    </font>
    <font>
      <sz val="9"/>
      <color indexed="81"/>
      <name val="Tahoma"/>
      <family val="2"/>
    </font>
    <font>
      <b/>
      <sz val="11"/>
      <color rgb="FF000000"/>
      <name val="Calibri"/>
      <family val="2"/>
    </font>
    <font>
      <sz val="11"/>
      <color rgb="FF000000"/>
      <name val="Calibri"/>
      <family val="2"/>
    </font>
  </fonts>
  <fills count="1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1"/>
        <bgColor indexed="64"/>
      </patternFill>
    </fill>
    <fill>
      <patternFill patternType="solid">
        <fgColor rgb="FFFF0000"/>
        <bgColor indexed="64"/>
      </patternFill>
    </fill>
    <fill>
      <patternFill patternType="solid">
        <fgColor rgb="FFC0C0C0"/>
        <bgColor rgb="FFC0C0C0"/>
      </patternFill>
    </fill>
    <fill>
      <patternFill patternType="solid">
        <fgColor rgb="FF92D050"/>
        <bgColor rgb="FFC0C0C0"/>
      </patternFill>
    </fill>
    <fill>
      <patternFill patternType="solid">
        <fgColor rgb="FFFF0000"/>
        <bgColor rgb="FFC0C0C0"/>
      </patternFill>
    </fill>
    <fill>
      <patternFill patternType="solid">
        <fgColor theme="0" tint="-0.249977111117893"/>
        <bgColor rgb="FFC0C0C0"/>
      </patternFill>
    </fill>
    <fill>
      <patternFill patternType="solid">
        <fgColor rgb="FF00B0F0"/>
        <bgColor rgb="FFC0C0C0"/>
      </patternFill>
    </fill>
    <fill>
      <patternFill patternType="solid">
        <fgColor theme="9"/>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auto="1"/>
      </right>
      <top/>
      <bottom/>
      <diagonal/>
    </border>
    <border>
      <left/>
      <right style="thin">
        <color auto="1"/>
      </right>
      <top/>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s>
  <cellStyleXfs count="3">
    <xf numFmtId="0" fontId="0" fillId="0" borderId="0"/>
    <xf numFmtId="9" fontId="6" fillId="0" borderId="0" applyFont="0" applyFill="0" applyBorder="0" applyAlignment="0" applyProtection="0"/>
    <xf numFmtId="44" fontId="6" fillId="0" borderId="0" applyFont="0" applyFill="0" applyBorder="0" applyAlignment="0" applyProtection="0"/>
  </cellStyleXfs>
  <cellXfs count="381">
    <xf numFmtId="0" fontId="0" fillId="0" borderId="0" xfId="0"/>
    <xf numFmtId="0" fontId="0" fillId="0" borderId="4" xfId="0" applyBorder="1"/>
    <xf numFmtId="0" fontId="0" fillId="0" borderId="0" xfId="0" applyBorder="1"/>
    <xf numFmtId="0" fontId="0" fillId="0" borderId="0" xfId="0" applyBorder="1" applyAlignment="1">
      <alignment horizontal="center"/>
    </xf>
    <xf numFmtId="0" fontId="0" fillId="0" borderId="5" xfId="0" applyBorder="1"/>
    <xf numFmtId="0" fontId="0" fillId="0" borderId="6" xfId="0" applyBorder="1"/>
    <xf numFmtId="0" fontId="0" fillId="0" borderId="8" xfId="0" applyBorder="1"/>
    <xf numFmtId="0" fontId="0" fillId="0" borderId="4" xfId="0" applyBorder="1" applyAlignment="1">
      <alignment vertical="center"/>
    </xf>
    <xf numFmtId="0" fontId="0" fillId="0" borderId="5" xfId="0" applyBorder="1" applyAlignment="1">
      <alignment vertical="center"/>
    </xf>
    <xf numFmtId="2" fontId="0" fillId="0" borderId="0" xfId="0" applyNumberFormat="1" applyBorder="1" applyAlignment="1">
      <alignment vertical="center"/>
    </xf>
    <xf numFmtId="0" fontId="0" fillId="0" borderId="6" xfId="0" applyBorder="1" applyAlignment="1">
      <alignment vertical="center"/>
    </xf>
    <xf numFmtId="2" fontId="0" fillId="0" borderId="7" xfId="0" applyNumberFormat="1" applyBorder="1" applyAlignment="1">
      <alignment vertical="center"/>
    </xf>
    <xf numFmtId="0" fontId="0" fillId="0" borderId="8" xfId="0" applyBorder="1" applyAlignment="1">
      <alignment vertical="center"/>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0" fillId="0" borderId="0" xfId="0" applyAlignment="1">
      <alignment wrapText="1"/>
    </xf>
    <xf numFmtId="0" fontId="0" fillId="3" borderId="12" xfId="0" applyFill="1" applyBorder="1"/>
    <xf numFmtId="0" fontId="0" fillId="2" borderId="12" xfId="0" applyFill="1" applyBorder="1"/>
    <xf numFmtId="0" fontId="1" fillId="0" borderId="0" xfId="0" applyFont="1"/>
    <xf numFmtId="0" fontId="0" fillId="0" borderId="0" xfId="0" applyAlignment="1">
      <alignment horizontal="center"/>
    </xf>
    <xf numFmtId="0" fontId="0" fillId="0" borderId="0" xfId="0" applyAlignment="1"/>
    <xf numFmtId="0" fontId="1" fillId="0" borderId="0" xfId="0" applyFont="1" applyAlignment="1">
      <alignment horizontal="center"/>
    </xf>
    <xf numFmtId="0" fontId="0" fillId="0" borderId="0" xfId="0" applyFill="1"/>
    <xf numFmtId="0" fontId="0" fillId="0" borderId="0" xfId="0" applyBorder="1" applyAlignment="1">
      <alignment horizontal="right"/>
    </xf>
    <xf numFmtId="0" fontId="0" fillId="6" borderId="12" xfId="0" applyFill="1" applyBorder="1"/>
    <xf numFmtId="0" fontId="0" fillId="0" borderId="0" xfId="0" applyFill="1" applyBorder="1" applyAlignment="1"/>
    <xf numFmtId="0" fontId="0" fillId="0" borderId="0" xfId="0" applyFill="1" applyBorder="1" applyAlignment="1">
      <alignment horizontal="center"/>
    </xf>
    <xf numFmtId="0" fontId="0" fillId="0" borderId="0" xfId="0" applyFill="1" applyBorder="1" applyAlignment="1">
      <alignment horizontal="right"/>
    </xf>
    <xf numFmtId="0" fontId="0" fillId="2" borderId="12" xfId="0" applyFill="1" applyBorder="1" applyAlignment="1">
      <alignment horizontal="right"/>
    </xf>
    <xf numFmtId="0" fontId="0" fillId="2" borderId="12" xfId="0" applyFill="1" applyBorder="1" applyAlignment="1">
      <alignment horizontal="center"/>
    </xf>
    <xf numFmtId="0" fontId="0" fillId="2" borderId="12" xfId="0" applyFill="1" applyBorder="1" applyAlignment="1"/>
    <xf numFmtId="0" fontId="1" fillId="0" borderId="0" xfId="0" applyFont="1" applyAlignment="1">
      <alignment horizontal="center"/>
    </xf>
    <xf numFmtId="0" fontId="0" fillId="0" borderId="0" xfId="0" applyFill="1" applyBorder="1"/>
    <xf numFmtId="0" fontId="0" fillId="0" borderId="0" xfId="0" applyAlignment="1">
      <alignment horizontal="center"/>
    </xf>
    <xf numFmtId="0" fontId="1" fillId="0" borderId="0" xfId="0" applyFont="1" applyAlignment="1">
      <alignment horizontal="center"/>
    </xf>
    <xf numFmtId="0" fontId="9" fillId="0" borderId="1" xfId="0" applyFont="1" applyBorder="1"/>
    <xf numFmtId="0" fontId="9" fillId="0" borderId="4" xfId="0" applyFont="1" applyBorder="1"/>
    <xf numFmtId="0" fontId="9" fillId="0" borderId="5" xfId="0" applyFont="1" applyBorder="1" applyAlignment="1">
      <alignment horizontal="center"/>
    </xf>
    <xf numFmtId="0" fontId="7" fillId="0" borderId="4" xfId="0" applyFont="1" applyBorder="1" applyAlignment="1">
      <alignment horizontal="center"/>
    </xf>
    <xf numFmtId="0" fontId="7" fillId="0" borderId="0" xfId="0" applyFont="1" applyBorder="1" applyAlignment="1">
      <alignment horizontal="center"/>
    </xf>
    <xf numFmtId="0" fontId="9" fillId="0" borderId="4" xfId="0" applyFont="1" applyBorder="1" applyAlignment="1">
      <alignment horizontal="center"/>
    </xf>
    <xf numFmtId="0" fontId="7" fillId="0" borderId="5" xfId="0" applyFont="1" applyBorder="1" applyAlignment="1">
      <alignment horizontal="center"/>
    </xf>
    <xf numFmtId="0" fontId="9" fillId="0" borderId="0" xfId="0" applyFont="1" applyBorder="1" applyAlignment="1">
      <alignment horizontal="center"/>
    </xf>
    <xf numFmtId="0" fontId="11" fillId="0" borderId="4" xfId="0" applyFont="1" applyBorder="1" applyAlignment="1">
      <alignment horizontal="center"/>
    </xf>
    <xf numFmtId="0" fontId="11" fillId="0" borderId="0" xfId="0" applyFont="1" applyBorder="1" applyAlignment="1">
      <alignment horizontal="center"/>
    </xf>
    <xf numFmtId="0" fontId="11" fillId="0" borderId="5" xfId="0" applyFont="1" applyBorder="1" applyAlignment="1">
      <alignment horizontal="center"/>
    </xf>
    <xf numFmtId="0" fontId="9" fillId="0" borderId="6" xfId="0" applyFont="1" applyBorder="1" applyAlignment="1">
      <alignment horizontal="center"/>
    </xf>
    <xf numFmtId="0" fontId="9" fillId="0" borderId="8" xfId="0" applyFont="1" applyBorder="1" applyAlignment="1">
      <alignment horizontal="center"/>
    </xf>
    <xf numFmtId="0" fontId="9" fillId="0" borderId="7" xfId="0" applyFont="1" applyBorder="1" applyAlignment="1">
      <alignment horizontal="center"/>
    </xf>
    <xf numFmtId="0" fontId="7" fillId="0" borderId="6" xfId="0" applyFont="1" applyBorder="1" applyAlignment="1">
      <alignment horizontal="center"/>
    </xf>
    <xf numFmtId="0" fontId="7" fillId="0" borderId="12" xfId="0" applyFont="1" applyBorder="1" applyAlignment="1">
      <alignment horizontal="center" vertical="center" wrapText="1"/>
    </xf>
    <xf numFmtId="0" fontId="7" fillId="0" borderId="12" xfId="0" applyFont="1" applyBorder="1" applyAlignment="1">
      <alignment vertical="center" wrapText="1"/>
    </xf>
    <xf numFmtId="0" fontId="7" fillId="0" borderId="20" xfId="0" applyFont="1" applyBorder="1" applyAlignment="1">
      <alignment horizontal="center" vertical="center" wrapText="1"/>
    </xf>
    <xf numFmtId="0" fontId="7" fillId="0" borderId="19" xfId="0" applyFont="1" applyBorder="1"/>
    <xf numFmtId="0" fontId="7" fillId="0" borderId="21" xfId="0" applyFont="1" applyBorder="1"/>
    <xf numFmtId="0" fontId="7" fillId="0" borderId="0" xfId="0" applyFont="1" applyBorder="1"/>
    <xf numFmtId="0" fontId="9" fillId="0" borderId="0" xfId="0" applyFont="1" applyBorder="1"/>
    <xf numFmtId="0" fontId="7" fillId="0" borderId="19" xfId="0" applyFont="1" applyBorder="1" applyAlignment="1">
      <alignment horizontal="center" vertical="center" wrapText="1"/>
    </xf>
    <xf numFmtId="0" fontId="9" fillId="0" borderId="12" xfId="0" applyFont="1" applyBorder="1" applyAlignment="1">
      <alignment horizontal="center"/>
    </xf>
    <xf numFmtId="0" fontId="9" fillId="0" borderId="20" xfId="0" applyFont="1" applyBorder="1" applyAlignment="1">
      <alignment horizontal="center"/>
    </xf>
    <xf numFmtId="0" fontId="9" fillId="0" borderId="22" xfId="0" applyFont="1" applyBorder="1" applyAlignment="1">
      <alignment horizontal="center"/>
    </xf>
    <xf numFmtId="0" fontId="9" fillId="6" borderId="22" xfId="0" applyFont="1" applyFill="1" applyBorder="1" applyAlignment="1">
      <alignment horizontal="center"/>
    </xf>
    <xf numFmtId="0" fontId="9" fillId="6" borderId="23" xfId="0" applyFont="1" applyFill="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9" fillId="0" borderId="6" xfId="0" applyFont="1" applyBorder="1"/>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9" fillId="0" borderId="4" xfId="0" applyFont="1" applyBorder="1" applyAlignment="1">
      <alignment horizontal="center" vertical="center"/>
    </xf>
    <xf numFmtId="2" fontId="9" fillId="0" borderId="0" xfId="0" applyNumberFormat="1"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2" fontId="9" fillId="0" borderId="7" xfId="0" applyNumberFormat="1" applyFont="1" applyBorder="1" applyAlignment="1">
      <alignment horizontal="center" vertical="center"/>
    </xf>
    <xf numFmtId="0" fontId="9" fillId="0" borderId="8" xfId="0" applyFont="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wrapText="1"/>
    </xf>
    <xf numFmtId="0" fontId="0" fillId="0" borderId="0" xfId="0" applyFont="1"/>
    <xf numFmtId="0" fontId="4" fillId="7" borderId="12" xfId="0" applyFont="1" applyFill="1" applyBorder="1"/>
    <xf numFmtId="2" fontId="4" fillId="7" borderId="12" xfId="0" applyNumberFormat="1" applyFont="1" applyFill="1" applyBorder="1" applyAlignment="1">
      <alignment horizontal="right"/>
    </xf>
    <xf numFmtId="0" fontId="0" fillId="3" borderId="0" xfId="0" applyFill="1" applyBorder="1"/>
    <xf numFmtId="0" fontId="0" fillId="2" borderId="24" xfId="0" applyFill="1" applyBorder="1"/>
    <xf numFmtId="0" fontId="1" fillId="0" borderId="25" xfId="0" applyFont="1" applyBorder="1" applyAlignment="1">
      <alignment horizontal="center"/>
    </xf>
    <xf numFmtId="0" fontId="0" fillId="6" borderId="26" xfId="0" applyFill="1" applyBorder="1"/>
    <xf numFmtId="0" fontId="1" fillId="0" borderId="25" xfId="0" quotePrefix="1" applyFont="1" applyBorder="1" applyAlignment="1">
      <alignment horizontal="center" vertical="center"/>
    </xf>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7" xfId="0" applyBorder="1"/>
    <xf numFmtId="0" fontId="0" fillId="3" borderId="8" xfId="0" applyFill="1" applyBorder="1"/>
    <xf numFmtId="0" fontId="0" fillId="0" borderId="5" xfId="0" applyBorder="1" applyAlignment="1">
      <alignment horizontal="center"/>
    </xf>
    <xf numFmtId="0" fontId="0" fillId="0" borderId="4"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 xfId="0" applyBorder="1" applyAlignment="1">
      <alignment horizontal="center"/>
    </xf>
    <xf numFmtId="0" fontId="1" fillId="0" borderId="0" xfId="0" applyFont="1" applyBorder="1" applyAlignment="1"/>
    <xf numFmtId="0" fontId="1" fillId="0" borderId="1"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0" fillId="0" borderId="6" xfId="0" applyFill="1" applyBorder="1" applyAlignment="1">
      <alignment horizontal="center"/>
    </xf>
    <xf numFmtId="0" fontId="0" fillId="0" borderId="8" xfId="0" applyFill="1" applyBorder="1" applyAlignment="1">
      <alignment horizontal="right"/>
    </xf>
    <xf numFmtId="0" fontId="0" fillId="0" borderId="3" xfId="0" applyBorder="1"/>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quotePrefix="1" applyFont="1" applyBorder="1" applyAlignment="1">
      <alignment horizontal="center" vertical="center"/>
    </xf>
    <xf numFmtId="0" fontId="2" fillId="0" borderId="0" xfId="0" applyFont="1" applyFill="1" applyBorder="1" applyAlignment="1">
      <alignment horizontal="center"/>
    </xf>
    <xf numFmtId="0" fontId="0" fillId="3" borderId="12" xfId="0" applyFill="1" applyBorder="1" applyProtection="1">
      <protection locked="0"/>
    </xf>
    <xf numFmtId="0" fontId="0" fillId="3" borderId="24" xfId="0" applyFill="1" applyBorder="1" applyProtection="1">
      <protection locked="0"/>
    </xf>
    <xf numFmtId="0" fontId="0" fillId="3" borderId="26" xfId="0" applyFill="1" applyBorder="1" applyAlignment="1" applyProtection="1">
      <alignment horizontal="right"/>
      <protection locked="0"/>
    </xf>
    <xf numFmtId="0" fontId="0" fillId="3" borderId="12" xfId="0" applyFill="1" applyBorder="1" applyAlignment="1" applyProtection="1">
      <alignment horizontal="right"/>
      <protection locked="0"/>
    </xf>
    <xf numFmtId="0" fontId="0" fillId="3" borderId="26" xfId="0" applyFill="1" applyBorder="1" applyProtection="1">
      <protection locked="0"/>
    </xf>
    <xf numFmtId="0" fontId="0" fillId="5" borderId="12" xfId="0" applyFill="1" applyBorder="1" applyAlignment="1" applyProtection="1">
      <alignment horizontal="right"/>
      <protection locked="0"/>
    </xf>
    <xf numFmtId="0" fontId="0" fillId="5" borderId="12" xfId="0" applyFill="1" applyBorder="1" applyAlignment="1" applyProtection="1">
      <protection locked="0"/>
    </xf>
    <xf numFmtId="16" fontId="0" fillId="0" borderId="0" xfId="0" quotePrefix="1" applyNumberFormat="1" applyAlignment="1">
      <alignment horizontal="center"/>
    </xf>
    <xf numFmtId="0" fontId="0" fillId="0" borderId="0" xfId="0" quotePrefix="1" applyNumberFormat="1" applyAlignment="1">
      <alignment horizontal="center"/>
    </xf>
    <xf numFmtId="0" fontId="1" fillId="0" borderId="12" xfId="0" applyFont="1" applyBorder="1" applyAlignment="1">
      <alignment horizontal="center" vertical="center"/>
    </xf>
    <xf numFmtId="0" fontId="1" fillId="0" borderId="12" xfId="0" applyFont="1" applyBorder="1"/>
    <xf numFmtId="0" fontId="1" fillId="0" borderId="12" xfId="0" applyFont="1" applyFill="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3" borderId="24" xfId="0" applyFill="1" applyBorder="1" applyAlignment="1" applyProtection="1">
      <alignment horizontal="right"/>
      <protection locked="0"/>
    </xf>
    <xf numFmtId="0" fontId="0" fillId="6" borderId="24" xfId="0" applyFill="1" applyBorder="1"/>
    <xf numFmtId="164" fontId="0" fillId="2" borderId="12" xfId="0" applyNumberFormat="1" applyFill="1" applyBorder="1"/>
    <xf numFmtId="0" fontId="7" fillId="0" borderId="4" xfId="0" applyFont="1" applyBorder="1"/>
    <xf numFmtId="0" fontId="2" fillId="0" borderId="0" xfId="0" applyFont="1" applyFill="1" applyBorder="1" applyAlignment="1">
      <alignment horizontal="left"/>
    </xf>
    <xf numFmtId="0" fontId="2" fillId="0" borderId="0" xfId="0" applyFont="1" applyBorder="1"/>
    <xf numFmtId="0" fontId="0" fillId="0" borderId="1" xfId="0" applyBorder="1"/>
    <xf numFmtId="0" fontId="0" fillId="0" borderId="4" xfId="0" applyFill="1" applyBorder="1"/>
    <xf numFmtId="0" fontId="0" fillId="0" borderId="2"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5" fillId="0" borderId="0" xfId="0" applyFont="1"/>
    <xf numFmtId="0" fontId="0" fillId="0" borderId="5" xfId="0" applyBorder="1" applyAlignment="1">
      <alignment horizontal="center"/>
    </xf>
    <xf numFmtId="0" fontId="1" fillId="0" borderId="0" xfId="0" applyFont="1" applyBorder="1" applyAlignment="1">
      <alignment horizontal="center" wrapText="1"/>
    </xf>
    <xf numFmtId="0" fontId="8" fillId="2" borderId="12" xfId="0" applyFont="1" applyFill="1" applyBorder="1" applyAlignment="1">
      <alignment horizontal="center"/>
    </xf>
    <xf numFmtId="0" fontId="16" fillId="0" borderId="0" xfId="0" applyFont="1" applyBorder="1"/>
    <xf numFmtId="0" fontId="1" fillId="0" borderId="5" xfId="0" applyFont="1" applyBorder="1"/>
    <xf numFmtId="0" fontId="17" fillId="0" borderId="12" xfId="0" applyFont="1" applyBorder="1" applyAlignment="1">
      <alignment horizontal="center"/>
    </xf>
    <xf numFmtId="0" fontId="17" fillId="0" borderId="12" xfId="0" applyFont="1" applyBorder="1"/>
    <xf numFmtId="0" fontId="17" fillId="0" borderId="12" xfId="0" applyFont="1" applyFill="1" applyBorder="1"/>
    <xf numFmtId="0" fontId="8" fillId="3" borderId="12" xfId="0" applyFont="1" applyFill="1" applyBorder="1" applyAlignment="1" applyProtection="1">
      <alignment horizontal="center" wrapText="1"/>
      <protection locked="0"/>
    </xf>
    <xf numFmtId="0" fontId="8" fillId="0" borderId="0" xfId="0" applyFont="1" applyBorder="1" applyAlignment="1">
      <alignment horizontal="center" wrapText="1"/>
    </xf>
    <xf numFmtId="0" fontId="8" fillId="0" borderId="0" xfId="0" applyFont="1" applyBorder="1" applyAlignment="1">
      <alignment horizontal="center"/>
    </xf>
    <xf numFmtId="0" fontId="5" fillId="0" borderId="0" xfId="0" applyFont="1" applyFill="1" applyBorder="1" applyAlignment="1">
      <alignment horizontal="center"/>
    </xf>
    <xf numFmtId="0" fontId="1" fillId="0" borderId="0" xfId="0" applyFont="1" applyBorder="1" applyAlignment="1">
      <alignment horizontal="center"/>
    </xf>
    <xf numFmtId="0" fontId="1" fillId="0" borderId="0" xfId="0" applyFont="1" applyFill="1" applyBorder="1" applyAlignment="1">
      <alignment horizontal="center"/>
    </xf>
    <xf numFmtId="0" fontId="0" fillId="0" borderId="0" xfId="0" applyBorder="1" applyAlignment="1">
      <alignment horizontal="center"/>
    </xf>
    <xf numFmtId="0" fontId="18" fillId="0" borderId="0" xfId="0" applyFont="1" applyFill="1" applyBorder="1" applyAlignment="1">
      <alignment horizontal="center"/>
    </xf>
    <xf numFmtId="0" fontId="0" fillId="0" borderId="5" xfId="0" applyFill="1" applyBorder="1"/>
    <xf numFmtId="0" fontId="0" fillId="0" borderId="0" xfId="0" applyFill="1" applyAlignment="1"/>
    <xf numFmtId="0" fontId="5" fillId="0" borderId="0" xfId="0" applyFont="1" applyFill="1" applyBorder="1" applyAlignment="1"/>
    <xf numFmtId="0" fontId="1" fillId="2" borderId="12" xfId="0" applyFont="1" applyFill="1" applyBorder="1"/>
    <xf numFmtId="0" fontId="1" fillId="0" borderId="0" xfId="0" applyFont="1" applyBorder="1" applyAlignment="1">
      <alignment horizontal="right"/>
    </xf>
    <xf numFmtId="0" fontId="1" fillId="0" borderId="0" xfId="0" applyFont="1" applyFill="1" applyBorder="1" applyAlignment="1"/>
    <xf numFmtId="0" fontId="15" fillId="0" borderId="7" xfId="0" applyFont="1" applyBorder="1"/>
    <xf numFmtId="0" fontId="15" fillId="0" borderId="0" xfId="0" applyFont="1" applyFill="1" applyBorder="1"/>
    <xf numFmtId="1" fontId="0" fillId="0" borderId="0" xfId="0" applyNumberFormat="1" applyFill="1" applyBorder="1" applyAlignment="1">
      <alignment horizontal="right"/>
    </xf>
    <xf numFmtId="0" fontId="8" fillId="0" borderId="0" xfId="0" applyFont="1" applyBorder="1"/>
    <xf numFmtId="1" fontId="19" fillId="2" borderId="12" xfId="0" applyNumberFormat="1" applyFont="1" applyFill="1" applyBorder="1" applyAlignment="1">
      <alignment horizontal="center"/>
    </xf>
    <xf numFmtId="0" fontId="24" fillId="0" borderId="0" xfId="0" applyFont="1" applyFill="1"/>
    <xf numFmtId="0" fontId="24" fillId="0" borderId="4" xfId="0" applyFont="1" applyFill="1" applyBorder="1"/>
    <xf numFmtId="0" fontId="25" fillId="0" borderId="0" xfId="0" applyFont="1" applyFill="1" applyBorder="1" applyAlignment="1">
      <alignment horizontal="center"/>
    </xf>
    <xf numFmtId="0" fontId="24" fillId="0" borderId="5" xfId="0" applyFont="1" applyFill="1" applyBorder="1"/>
    <xf numFmtId="0" fontId="24" fillId="0" borderId="0" xfId="0" applyFont="1" applyFill="1" applyAlignment="1"/>
    <xf numFmtId="165" fontId="0" fillId="2" borderId="12" xfId="0" applyNumberFormat="1" applyFill="1" applyBorder="1" applyAlignment="1"/>
    <xf numFmtId="165" fontId="0" fillId="2" borderId="12" xfId="0" applyNumberFormat="1" applyFill="1" applyBorder="1"/>
    <xf numFmtId="1" fontId="0" fillId="2" borderId="12" xfId="0" applyNumberFormat="1" applyFill="1" applyBorder="1" applyAlignment="1"/>
    <xf numFmtId="1" fontId="0" fillId="2" borderId="12" xfId="0" applyNumberFormat="1" applyFill="1" applyBorder="1"/>
    <xf numFmtId="2" fontId="0" fillId="2" borderId="12" xfId="0" applyNumberFormat="1" applyFill="1" applyBorder="1" applyAlignment="1">
      <alignment horizontal="right"/>
    </xf>
    <xf numFmtId="2" fontId="0" fillId="0" borderId="0" xfId="0" applyNumberFormat="1" applyBorder="1"/>
    <xf numFmtId="0" fontId="26" fillId="0" borderId="0" xfId="0" applyFont="1" applyBorder="1" applyAlignment="1">
      <alignment horizontal="left" wrapText="1"/>
    </xf>
    <xf numFmtId="0" fontId="15" fillId="0" borderId="0" xfId="0" applyFont="1" applyBorder="1"/>
    <xf numFmtId="0" fontId="27" fillId="0" borderId="7" xfId="0" applyFont="1" applyBorder="1"/>
    <xf numFmtId="0" fontId="1" fillId="0" borderId="0" xfId="0" applyFont="1" applyFill="1" applyBorder="1" applyAlignment="1">
      <alignment horizontal="center" vertical="center"/>
    </xf>
    <xf numFmtId="0" fontId="0" fillId="0" borderId="0" xfId="0" applyBorder="1" applyAlignment="1">
      <alignment horizontal="center"/>
    </xf>
    <xf numFmtId="0" fontId="1" fillId="0" borderId="0"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16" fontId="0" fillId="0" borderId="4" xfId="0" quotePrefix="1" applyNumberFormat="1" applyBorder="1" applyAlignment="1">
      <alignment horizontal="center"/>
    </xf>
    <xf numFmtId="0" fontId="0" fillId="0" borderId="4" xfId="0" quotePrefix="1" applyBorder="1" applyAlignment="1">
      <alignment horizontal="center"/>
    </xf>
    <xf numFmtId="0" fontId="0" fillId="0" borderId="6" xfId="0" quotePrefix="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xf>
    <xf numFmtId="165" fontId="4" fillId="7" borderId="12" xfId="0" applyNumberFormat="1" applyFont="1" applyFill="1" applyBorder="1"/>
    <xf numFmtId="0" fontId="1" fillId="0" borderId="0"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7" fillId="0" borderId="1" xfId="0" applyFont="1" applyBorder="1" applyAlignment="1">
      <alignment horizontal="center"/>
    </xf>
    <xf numFmtId="0" fontId="1" fillId="0" borderId="1" xfId="0" applyFont="1" applyBorder="1"/>
    <xf numFmtId="0" fontId="1" fillId="0" borderId="3" xfId="0" applyFont="1" applyBorder="1"/>
    <xf numFmtId="0" fontId="2" fillId="3" borderId="12" xfId="0" applyFont="1" applyFill="1" applyBorder="1" applyAlignment="1" applyProtection="1">
      <alignment horizontal="center"/>
      <protection locked="0"/>
    </xf>
    <xf numFmtId="0" fontId="0" fillId="3" borderId="12" xfId="0" applyFill="1" applyBorder="1" applyAlignment="1" applyProtection="1">
      <alignment horizontal="center"/>
      <protection locked="0"/>
    </xf>
    <xf numFmtId="0" fontId="1" fillId="0" borderId="0" xfId="0" applyFont="1" applyBorder="1" applyAlignment="1">
      <alignment horizontal="center"/>
    </xf>
    <xf numFmtId="0" fontId="1" fillId="0" borderId="5" xfId="0" applyFont="1" applyBorder="1" applyAlignment="1">
      <alignment horizontal="center"/>
    </xf>
    <xf numFmtId="0" fontId="1" fillId="0" borderId="27" xfId="0" applyFont="1" applyBorder="1"/>
    <xf numFmtId="0" fontId="0" fillId="0" borderId="36" xfId="0" applyBorder="1"/>
    <xf numFmtId="0" fontId="0" fillId="0" borderId="28" xfId="0" applyBorder="1"/>
    <xf numFmtId="0" fontId="0" fillId="0" borderId="29" xfId="0" applyBorder="1"/>
    <xf numFmtId="0" fontId="0" fillId="0" borderId="12" xfId="0" applyBorder="1"/>
    <xf numFmtId="0" fontId="0" fillId="0" borderId="19" xfId="0" applyBorder="1"/>
    <xf numFmtId="1" fontId="0" fillId="0" borderId="0" xfId="0" applyNumberFormat="1"/>
    <xf numFmtId="1" fontId="0" fillId="0" borderId="4" xfId="0" quotePrefix="1" applyNumberFormat="1" applyBorder="1" applyAlignment="1">
      <alignment horizontal="center"/>
    </xf>
    <xf numFmtId="1" fontId="0" fillId="0" borderId="6" xfId="0" applyNumberFormat="1" applyBorder="1" applyAlignment="1">
      <alignment horizontal="center"/>
    </xf>
    <xf numFmtId="0" fontId="0" fillId="0" borderId="12" xfId="0" applyBorder="1" applyAlignment="1">
      <alignment horizontal="center"/>
    </xf>
    <xf numFmtId="0" fontId="0" fillId="0" borderId="20" xfId="0" applyBorder="1" applyAlignment="1">
      <alignment horizontal="center"/>
    </xf>
    <xf numFmtId="16" fontId="0" fillId="0" borderId="19" xfId="0" quotePrefix="1" applyNumberFormat="1" applyBorder="1" applyAlignment="1">
      <alignment horizontal="center"/>
    </xf>
    <xf numFmtId="0" fontId="0" fillId="0" borderId="19" xfId="0" quotePrefix="1" applyBorder="1" applyAlignment="1">
      <alignment horizontal="center"/>
    </xf>
    <xf numFmtId="0" fontId="0" fillId="0" borderId="21" xfId="0" quotePrefix="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3" borderId="37" xfId="0" applyFill="1" applyBorder="1" applyAlignment="1" applyProtection="1">
      <alignment horizontal="right"/>
      <protection locked="0"/>
    </xf>
    <xf numFmtId="0" fontId="0" fillId="2" borderId="38" xfId="0" applyFill="1" applyBorder="1"/>
    <xf numFmtId="0" fontId="0" fillId="0" borderId="0" xfId="0" applyAlignment="1">
      <alignment horizontal="left"/>
    </xf>
    <xf numFmtId="0" fontId="15" fillId="0" borderId="4" xfId="0" applyFont="1" applyBorder="1" applyAlignment="1">
      <alignment horizontal="center"/>
    </xf>
    <xf numFmtId="0" fontId="15" fillId="0" borderId="5" xfId="0" applyFont="1" applyBorder="1" applyAlignment="1">
      <alignment horizontal="center"/>
    </xf>
    <xf numFmtId="0" fontId="15" fillId="0" borderId="4" xfId="0" applyFont="1" applyFill="1" applyBorder="1" applyAlignment="1">
      <alignment horizontal="center"/>
    </xf>
    <xf numFmtId="0" fontId="15" fillId="0" borderId="6" xfId="0" applyFont="1" applyBorder="1" applyAlignment="1">
      <alignment horizontal="center"/>
    </xf>
    <xf numFmtId="0" fontId="15" fillId="0" borderId="8" xfId="0" applyFont="1" applyBorder="1" applyAlignment="1">
      <alignment horizontal="center"/>
    </xf>
    <xf numFmtId="0" fontId="10" fillId="0" borderId="0" xfId="0" applyFont="1" applyFill="1" applyBorder="1" applyAlignment="1">
      <alignment horizontal="center"/>
    </xf>
    <xf numFmtId="0" fontId="5" fillId="0" borderId="0" xfId="0" applyFont="1" applyFill="1" applyBorder="1" applyAlignment="1">
      <alignment horizontal="center"/>
    </xf>
    <xf numFmtId="0" fontId="2" fillId="0" borderId="0" xfId="0" applyFont="1" applyFill="1" applyBorder="1" applyAlignment="1"/>
    <xf numFmtId="0" fontId="0" fillId="0" borderId="0" xfId="0" applyBorder="1" applyAlignment="1">
      <alignment horizontal="center"/>
    </xf>
    <xf numFmtId="0" fontId="5" fillId="0" borderId="0" xfId="0" applyFont="1"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31" fillId="8" borderId="12" xfId="0" applyFont="1" applyFill="1" applyBorder="1" applyAlignment="1" applyProtection="1">
      <alignment horizontal="center" vertical="center"/>
    </xf>
    <xf numFmtId="0" fontId="31" fillId="9" borderId="12" xfId="0" applyFont="1" applyFill="1" applyBorder="1" applyAlignment="1" applyProtection="1">
      <alignment horizontal="center" vertical="center"/>
    </xf>
    <xf numFmtId="0" fontId="31" fillId="10" borderId="12" xfId="0" applyFont="1" applyFill="1" applyBorder="1" applyAlignment="1" applyProtection="1">
      <alignment horizontal="center" vertical="center"/>
    </xf>
    <xf numFmtId="0" fontId="31" fillId="11" borderId="12" xfId="0" applyFont="1" applyFill="1" applyBorder="1" applyAlignment="1" applyProtection="1">
      <alignment horizontal="center" vertical="center"/>
    </xf>
    <xf numFmtId="166" fontId="31" fillId="9" borderId="12" xfId="2" applyNumberFormat="1" applyFont="1" applyFill="1" applyBorder="1" applyAlignment="1" applyProtection="1">
      <alignment horizontal="center" vertical="center"/>
    </xf>
    <xf numFmtId="0" fontId="31" fillId="12" borderId="12" xfId="0" applyFont="1" applyFill="1" applyBorder="1" applyAlignment="1" applyProtection="1">
      <alignment horizontal="center" vertical="center"/>
    </xf>
    <xf numFmtId="166" fontId="31" fillId="12" borderId="12" xfId="0" applyNumberFormat="1" applyFont="1" applyFill="1" applyBorder="1" applyAlignment="1" applyProtection="1">
      <alignment horizontal="center" vertical="center"/>
    </xf>
    <xf numFmtId="49" fontId="31" fillId="9" borderId="12" xfId="0" applyNumberFormat="1" applyFont="1" applyFill="1" applyBorder="1" applyAlignment="1" applyProtection="1">
      <alignment horizontal="center" vertical="center"/>
    </xf>
    <xf numFmtId="0" fontId="32" fillId="0" borderId="39" xfId="0" applyFont="1" applyFill="1" applyBorder="1" applyAlignment="1" applyProtection="1">
      <alignment vertical="center" wrapText="1"/>
    </xf>
    <xf numFmtId="3" fontId="32" fillId="0" borderId="39" xfId="0" applyNumberFormat="1" applyFont="1" applyFill="1" applyBorder="1" applyAlignment="1" applyProtection="1">
      <alignment horizontal="right" vertical="center" wrapText="1"/>
    </xf>
    <xf numFmtId="4" fontId="32" fillId="0" borderId="39" xfId="0" applyNumberFormat="1" applyFont="1" applyFill="1" applyBorder="1" applyAlignment="1" applyProtection="1">
      <alignment horizontal="right" vertical="center" wrapText="1"/>
    </xf>
    <xf numFmtId="167" fontId="32" fillId="0" borderId="39" xfId="0" applyNumberFormat="1" applyFont="1" applyFill="1" applyBorder="1" applyAlignment="1" applyProtection="1">
      <alignment horizontal="right" vertical="center" wrapText="1"/>
    </xf>
    <xf numFmtId="166" fontId="0" fillId="0" borderId="0" xfId="2" applyNumberFormat="1" applyFont="1"/>
    <xf numFmtId="166" fontId="32" fillId="0" borderId="39" xfId="0" applyNumberFormat="1" applyFont="1" applyFill="1" applyBorder="1" applyAlignment="1" applyProtection="1">
      <alignment horizontal="right" vertical="center" wrapText="1"/>
    </xf>
    <xf numFmtId="49" fontId="32" fillId="0" borderId="39" xfId="0" applyNumberFormat="1" applyFont="1" applyFill="1" applyBorder="1" applyAlignment="1" applyProtection="1">
      <alignment horizontal="right" vertical="center"/>
    </xf>
    <xf numFmtId="49" fontId="32" fillId="0" borderId="39" xfId="0" applyNumberFormat="1" applyFont="1" applyFill="1" applyBorder="1" applyAlignment="1" applyProtection="1">
      <alignment vertical="center" wrapText="1"/>
    </xf>
    <xf numFmtId="0" fontId="32" fillId="3" borderId="39" xfId="0" applyFont="1" applyFill="1" applyBorder="1" applyAlignment="1" applyProtection="1">
      <alignment vertical="center" wrapText="1"/>
    </xf>
    <xf numFmtId="0" fontId="32" fillId="0" borderId="0" xfId="0" applyFont="1" applyFill="1" applyBorder="1" applyAlignment="1" applyProtection="1">
      <alignment vertical="center" wrapText="1"/>
    </xf>
    <xf numFmtId="3" fontId="32" fillId="3" borderId="39" xfId="0" applyNumberFormat="1" applyFont="1" applyFill="1" applyBorder="1" applyAlignment="1" applyProtection="1">
      <alignment horizontal="right" vertical="center" wrapText="1"/>
    </xf>
    <xf numFmtId="167" fontId="32" fillId="3" borderId="39" xfId="0" applyNumberFormat="1" applyFont="1" applyFill="1" applyBorder="1" applyAlignment="1" applyProtection="1">
      <alignment horizontal="right" vertical="center" wrapText="1"/>
    </xf>
    <xf numFmtId="166" fontId="32" fillId="3" borderId="39" xfId="2" applyNumberFormat="1" applyFont="1" applyFill="1" applyBorder="1" applyAlignment="1" applyProtection="1">
      <alignment horizontal="right" vertical="center" wrapText="1"/>
    </xf>
    <xf numFmtId="49" fontId="32" fillId="0" borderId="40" xfId="0" applyNumberFormat="1" applyFont="1" applyFill="1" applyBorder="1" applyAlignment="1" applyProtection="1">
      <alignment horizontal="right" vertical="center" wrapText="1"/>
    </xf>
    <xf numFmtId="49" fontId="32" fillId="0" borderId="0" xfId="0" applyNumberFormat="1" applyFont="1" applyFill="1" applyBorder="1" applyAlignment="1" applyProtection="1">
      <alignment vertical="center" wrapText="1"/>
    </xf>
    <xf numFmtId="166" fontId="32" fillId="0" borderId="39" xfId="2" applyNumberFormat="1" applyFont="1" applyFill="1" applyBorder="1" applyAlignment="1" applyProtection="1">
      <alignment horizontal="right" vertical="center" wrapText="1"/>
    </xf>
    <xf numFmtId="49" fontId="32" fillId="0" borderId="39" xfId="0" applyNumberFormat="1" applyFont="1" applyFill="1" applyBorder="1" applyAlignment="1" applyProtection="1">
      <alignment vertical="center"/>
    </xf>
    <xf numFmtId="49" fontId="0" fillId="0" borderId="0" xfId="0" applyNumberFormat="1"/>
    <xf numFmtId="166" fontId="0" fillId="3" borderId="0" xfId="2" applyNumberFormat="1" applyFont="1" applyFill="1"/>
    <xf numFmtId="49" fontId="32" fillId="0" borderId="40" xfId="0" applyNumberFormat="1" applyFont="1" applyFill="1" applyBorder="1" applyAlignment="1" applyProtection="1">
      <alignment vertical="center"/>
    </xf>
    <xf numFmtId="49" fontId="0" fillId="0" borderId="0" xfId="0" applyNumberFormat="1" applyAlignment="1">
      <alignment wrapText="1"/>
    </xf>
    <xf numFmtId="0" fontId="32" fillId="13" borderId="0" xfId="0" applyFont="1" applyFill="1" applyBorder="1" applyAlignment="1" applyProtection="1">
      <alignment vertical="center" wrapText="1"/>
    </xf>
    <xf numFmtId="167" fontId="0" fillId="0" borderId="0" xfId="0" applyNumberFormat="1"/>
    <xf numFmtId="166" fontId="0" fillId="0" borderId="0" xfId="0" applyNumberFormat="1"/>
    <xf numFmtId="0" fontId="0" fillId="0" borderId="0" xfId="0" applyFont="1" applyBorder="1" applyAlignment="1">
      <alignment horizontal="center"/>
    </xf>
    <xf numFmtId="0" fontId="0" fillId="0" borderId="5" xfId="0" applyFont="1" applyBorder="1" applyAlignment="1">
      <alignment horizontal="center"/>
    </xf>
    <xf numFmtId="9" fontId="0" fillId="2" borderId="12" xfId="1" applyFont="1" applyFill="1" applyBorder="1" applyAlignment="1">
      <alignment horizontal="center"/>
    </xf>
    <xf numFmtId="0" fontId="5" fillId="0" borderId="0" xfId="0" applyFont="1" applyFill="1" applyBorder="1" applyAlignment="1">
      <alignment horizontal="center"/>
    </xf>
    <xf numFmtId="0" fontId="0" fillId="0" borderId="0" xfId="0" quotePrefix="1"/>
    <xf numFmtId="9" fontId="0" fillId="0" borderId="4" xfId="1" applyFont="1" applyBorder="1"/>
    <xf numFmtId="9" fontId="0" fillId="0" borderId="6" xfId="1" applyFont="1" applyBorder="1"/>
    <xf numFmtId="0" fontId="20" fillId="7" borderId="27" xfId="0" applyFont="1" applyFill="1" applyBorder="1" applyAlignment="1">
      <alignment horizontal="center" vertical="center"/>
    </xf>
    <xf numFmtId="165" fontId="0" fillId="2" borderId="12" xfId="0" applyNumberFormat="1" applyFill="1" applyBorder="1" applyAlignment="1">
      <alignment horizontal="center" vertical="center"/>
    </xf>
    <xf numFmtId="165" fontId="0" fillId="0" borderId="0" xfId="0" applyNumberFormat="1" applyBorder="1"/>
    <xf numFmtId="0" fontId="0" fillId="5" borderId="12" xfId="0" applyFill="1" applyBorder="1" applyAlignment="1" applyProtection="1">
      <alignment horizontal="center"/>
      <protection locked="0"/>
    </xf>
    <xf numFmtId="165" fontId="0" fillId="2" borderId="12" xfId="0" applyNumberFormat="1" applyFill="1" applyBorder="1" applyAlignment="1">
      <alignment horizontal="right"/>
    </xf>
    <xf numFmtId="0" fontId="0" fillId="0" borderId="20" xfId="0" applyBorder="1"/>
    <xf numFmtId="0" fontId="0" fillId="0" borderId="21" xfId="0" applyBorder="1"/>
    <xf numFmtId="0" fontId="0" fillId="0" borderId="22" xfId="0" applyBorder="1"/>
    <xf numFmtId="0" fontId="0" fillId="0" borderId="23" xfId="0"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0" fillId="3" borderId="0" xfId="0" applyFill="1"/>
    <xf numFmtId="1" fontId="8" fillId="2" borderId="41" xfId="0" applyNumberFormat="1" applyFont="1" applyFill="1" applyBorder="1" applyAlignment="1">
      <alignment horizontal="center"/>
    </xf>
    <xf numFmtId="1" fontId="20" fillId="7" borderId="29" xfId="0" applyNumberFormat="1" applyFont="1" applyFill="1" applyBorder="1" applyAlignment="1">
      <alignment horizontal="center"/>
    </xf>
    <xf numFmtId="1" fontId="19" fillId="2" borderId="22" xfId="0" applyNumberFormat="1" applyFont="1" applyFill="1" applyBorder="1" applyAlignment="1">
      <alignment horizontal="center"/>
    </xf>
    <xf numFmtId="0" fontId="8" fillId="0" borderId="7" xfId="0" applyFont="1" applyBorder="1"/>
    <xf numFmtId="0" fontId="0" fillId="0" borderId="42" xfId="0" applyBorder="1"/>
    <xf numFmtId="165" fontId="0" fillId="0" borderId="0" xfId="0" applyNumberFormat="1"/>
    <xf numFmtId="0" fontId="27" fillId="0" borderId="0" xfId="0" applyFont="1" applyBorder="1"/>
    <xf numFmtId="1" fontId="8" fillId="2" borderId="12" xfId="0" applyNumberFormat="1" applyFont="1" applyFill="1" applyBorder="1" applyAlignment="1">
      <alignment horizontal="center"/>
    </xf>
    <xf numFmtId="10" fontId="0" fillId="3" borderId="12" xfId="1" applyNumberFormat="1" applyFont="1" applyFill="1" applyBorder="1" applyAlignment="1" applyProtection="1">
      <alignment horizontal="center"/>
      <protection locked="0"/>
    </xf>
    <xf numFmtId="9" fontId="0" fillId="3" borderId="12" xfId="1" applyFont="1" applyFill="1" applyBorder="1" applyAlignment="1" applyProtection="1">
      <alignment horizontal="center"/>
      <protection locked="0"/>
    </xf>
    <xf numFmtId="0" fontId="5" fillId="3" borderId="0" xfId="0" applyFont="1" applyFill="1" applyBorder="1" applyAlignment="1">
      <alignment horizontal="center"/>
    </xf>
    <xf numFmtId="0" fontId="29" fillId="6" borderId="0" xfId="0" applyFont="1" applyFill="1" applyBorder="1" applyAlignment="1">
      <alignment horizontal="center" vertical="center" textRotation="90"/>
    </xf>
    <xf numFmtId="0" fontId="29" fillId="6" borderId="7" xfId="0" applyFont="1" applyFill="1" applyBorder="1" applyAlignment="1">
      <alignment horizontal="center" vertical="center" textRotation="90"/>
    </xf>
    <xf numFmtId="0" fontId="18" fillId="6" borderId="2" xfId="0" applyFont="1" applyFill="1" applyBorder="1" applyAlignment="1">
      <alignment horizontal="center"/>
    </xf>
    <xf numFmtId="0" fontId="18" fillId="6" borderId="0" xfId="0" applyFont="1" applyFill="1" applyBorder="1" applyAlignment="1">
      <alignment horizontal="center"/>
    </xf>
    <xf numFmtId="0" fontId="1" fillId="0" borderId="0" xfId="0" applyFont="1" applyFill="1" applyBorder="1" applyAlignment="1">
      <alignment horizontal="center"/>
    </xf>
    <xf numFmtId="0" fontId="7" fillId="4" borderId="0" xfId="0" applyFont="1" applyFill="1" applyBorder="1" applyAlignment="1">
      <alignment horizontal="center"/>
    </xf>
    <xf numFmtId="0" fontId="1" fillId="4" borderId="0" xfId="0" applyFont="1" applyFill="1" applyBorder="1" applyAlignment="1">
      <alignment horizontal="center"/>
    </xf>
    <xf numFmtId="0" fontId="5" fillId="4" borderId="0" xfId="0" applyFont="1" applyFill="1" applyBorder="1" applyAlignment="1">
      <alignment horizontal="center"/>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1" xfId="0" applyFont="1" applyFill="1" applyBorder="1" applyAlignment="1" applyProtection="1">
      <alignment horizontal="center" vertical="center" wrapText="1"/>
      <protection locked="0"/>
    </xf>
    <xf numFmtId="0" fontId="4" fillId="5" borderId="14"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 fillId="5" borderId="35" xfId="0" applyFont="1" applyFill="1" applyBorder="1" applyAlignment="1" applyProtection="1">
      <alignment horizontal="center" vertical="center" wrapText="1"/>
      <protection locked="0"/>
    </xf>
    <xf numFmtId="0" fontId="0" fillId="0" borderId="14" xfId="0" applyBorder="1" applyAlignment="1">
      <alignment horizontal="center" vertical="center" wrapText="1"/>
    </xf>
    <xf numFmtId="0" fontId="0" fillId="0" borderId="0" xfId="0" applyBorder="1" applyAlignment="1">
      <alignment horizontal="center"/>
    </xf>
    <xf numFmtId="0" fontId="5" fillId="0" borderId="0" xfId="0" applyFont="1" applyFill="1" applyBorder="1" applyAlignment="1">
      <alignment horizontal="center"/>
    </xf>
    <xf numFmtId="0" fontId="13" fillId="0" borderId="2" xfId="0" applyFont="1" applyBorder="1" applyAlignment="1">
      <alignment horizontal="center" vertical="center"/>
    </xf>
    <xf numFmtId="0" fontId="1" fillId="3" borderId="0" xfId="0" applyFont="1" applyFill="1" applyBorder="1" applyAlignment="1">
      <alignment horizontal="center"/>
    </xf>
    <xf numFmtId="0" fontId="1" fillId="3" borderId="13" xfId="0" applyFont="1" applyFill="1" applyBorder="1" applyAlignment="1">
      <alignment horizontal="center"/>
    </xf>
    <xf numFmtId="0" fontId="0" fillId="0" borderId="15" xfId="0" applyBorder="1" applyAlignment="1">
      <alignment horizontal="left" wrapText="1"/>
    </xf>
    <xf numFmtId="0" fontId="0" fillId="0" borderId="0" xfId="0" applyBorder="1" applyAlignment="1">
      <alignment horizontal="left" wrapText="1"/>
    </xf>
    <xf numFmtId="0" fontId="7" fillId="0" borderId="0" xfId="0" applyFont="1" applyBorder="1" applyAlignment="1">
      <alignment horizontal="center" wrapText="1"/>
    </xf>
    <xf numFmtId="0" fontId="1" fillId="0" borderId="0" xfId="0" applyFont="1" applyBorder="1" applyAlignment="1">
      <alignment horizontal="center"/>
    </xf>
    <xf numFmtId="0" fontId="1" fillId="3" borderId="25" xfId="0" applyFont="1" applyFill="1" applyBorder="1" applyAlignment="1">
      <alignment horizontal="center"/>
    </xf>
    <xf numFmtId="0" fontId="0" fillId="0" borderId="0" xfId="0"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1" fillId="0" borderId="5" xfId="0" applyFont="1" applyBorder="1" applyAlignment="1">
      <alignment horizontal="center"/>
    </xf>
    <xf numFmtId="0" fontId="0" fillId="0" borderId="10" xfId="0"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7" xfId="0" applyFont="1" applyFill="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8" xfId="0"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0" fillId="0" borderId="30" xfId="0" applyBorder="1" applyAlignment="1">
      <alignment horizontal="center"/>
    </xf>
    <xf numFmtId="0" fontId="1" fillId="0" borderId="15" xfId="0" applyFont="1" applyBorder="1" applyAlignment="1">
      <alignment horizontal="left"/>
    </xf>
    <xf numFmtId="0" fontId="8" fillId="0" borderId="9" xfId="0" applyFont="1"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12" fillId="0" borderId="1" xfId="0" applyFont="1" applyBorder="1" applyAlignment="1">
      <alignment horizontal="center" wrapText="1"/>
    </xf>
    <xf numFmtId="0" fontId="12" fillId="0" borderId="2" xfId="0" applyFont="1" applyBorder="1" applyAlignment="1">
      <alignment horizontal="center" wrapText="1"/>
    </xf>
    <xf numFmtId="0" fontId="12" fillId="0" borderId="3" xfId="0" applyFont="1" applyBorder="1" applyAlignment="1">
      <alignment horizontal="center" wrapText="1"/>
    </xf>
    <xf numFmtId="0" fontId="28" fillId="0" borderId="16" xfId="0" applyFont="1" applyBorder="1" applyAlignment="1">
      <alignment horizontal="center"/>
    </xf>
    <xf numFmtId="0" fontId="28" fillId="0" borderId="17" xfId="0" applyFont="1" applyBorder="1" applyAlignment="1">
      <alignment horizontal="center"/>
    </xf>
    <xf numFmtId="0" fontId="28" fillId="0" borderId="18" xfId="0" applyFont="1" applyBorder="1" applyAlignment="1">
      <alignment horizontal="center"/>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7" fillId="0" borderId="1" xfId="0" applyFont="1" applyBorder="1" applyAlignment="1">
      <alignment horizontal="center"/>
    </xf>
    <xf numFmtId="0" fontId="9" fillId="0" borderId="3" xfId="0" applyFont="1" applyBorder="1" applyAlignment="1">
      <alignment horizontal="center"/>
    </xf>
    <xf numFmtId="0" fontId="28" fillId="0" borderId="9" xfId="0" applyFont="1" applyBorder="1" applyAlignment="1">
      <alignment horizontal="center"/>
    </xf>
    <xf numFmtId="0" fontId="28" fillId="0" borderId="10" xfId="0" applyFont="1" applyBorder="1" applyAlignment="1">
      <alignment horizontal="center"/>
    </xf>
    <xf numFmtId="0" fontId="28" fillId="0" borderId="11" xfId="0" applyFont="1" applyBorder="1" applyAlignment="1">
      <alignment horizontal="center"/>
    </xf>
    <xf numFmtId="0" fontId="8" fillId="0" borderId="9" xfId="0" applyFont="1" applyBorder="1" applyAlignment="1">
      <alignment horizontal="center" wrapText="1"/>
    </xf>
    <xf numFmtId="0" fontId="8" fillId="0" borderId="11" xfId="0" applyFont="1" applyBorder="1" applyAlignment="1">
      <alignment horizontal="center" wrapText="1"/>
    </xf>
  </cellXfs>
  <cellStyles count="3">
    <cellStyle name="Currency" xfId="2" builtinId="4"/>
    <cellStyle name="Normal" xfId="0" builtinId="0"/>
    <cellStyle name="Percent" xfId="1" builtinId="5"/>
  </cellStyles>
  <dxfs count="5">
    <dxf>
      <font>
        <b/>
        <i val="0"/>
        <color theme="0"/>
      </font>
      <fill>
        <patternFill>
          <bgColor rgb="FFFF0000"/>
        </patternFill>
      </fill>
    </dxf>
    <dxf>
      <font>
        <b/>
        <i val="0"/>
        <color rgb="FF00B050"/>
      </font>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84665</xdr:colOff>
      <xdr:row>1</xdr:row>
      <xdr:rowOff>52918</xdr:rowOff>
    </xdr:from>
    <xdr:to>
      <xdr:col>3</xdr:col>
      <xdr:colOff>1009648</xdr:colOff>
      <xdr:row>2</xdr:row>
      <xdr:rowOff>402167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582" y="95251"/>
          <a:ext cx="924983" cy="931333"/>
        </a:xfrm>
        <a:prstGeom prst="rect">
          <a:avLst/>
        </a:prstGeom>
      </xdr:spPr>
    </xdr:pic>
    <xdr:clientData/>
  </xdr:twoCellAnchor>
  <xdr:twoCellAnchor editAs="oneCell">
    <xdr:from>
      <xdr:col>18</xdr:col>
      <xdr:colOff>523877</xdr:colOff>
      <xdr:row>1</xdr:row>
      <xdr:rowOff>11906</xdr:rowOff>
    </xdr:from>
    <xdr:to>
      <xdr:col>19</xdr:col>
      <xdr:colOff>530566</xdr:colOff>
      <xdr:row>2</xdr:row>
      <xdr:rowOff>434340</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208" b="4167"/>
        <a:stretch/>
      </xdr:blipFill>
      <xdr:spPr>
        <a:xfrm>
          <a:off x="17275971" y="47625"/>
          <a:ext cx="994908" cy="1005840"/>
        </a:xfrm>
        <a:prstGeom prst="rect">
          <a:avLst/>
        </a:prstGeom>
      </xdr:spPr>
    </xdr:pic>
    <xdr:clientData/>
  </xdr:twoCellAnchor>
  <xdr:twoCellAnchor>
    <xdr:from>
      <xdr:col>19</xdr:col>
      <xdr:colOff>309562</xdr:colOff>
      <xdr:row>2</xdr:row>
      <xdr:rowOff>214313</xdr:rowOff>
    </xdr:from>
    <xdr:to>
      <xdr:col>22</xdr:col>
      <xdr:colOff>0</xdr:colOff>
      <xdr:row>3</xdr:row>
      <xdr:rowOff>35718</xdr:rowOff>
    </xdr:to>
    <xdr:sp macro="" textlink="">
      <xdr:nvSpPr>
        <xdr:cNvPr id="2" name="TextBox 1"/>
        <xdr:cNvSpPr txBox="1"/>
      </xdr:nvSpPr>
      <xdr:spPr>
        <a:xfrm>
          <a:off x="18049875" y="833438"/>
          <a:ext cx="654844" cy="273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v_11</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CSL%20GROUP%20DRIVES\CSL%20Common\Leno\DM%20Wargame\AY20%20References\Datasets\AY20\FY20%20Force%20Structure%20Data%20v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2020 Modified Data_PaxCount"/>
      <sheetName val="2020 Modified Data"/>
      <sheetName val="Pivot_PersonnelCount"/>
      <sheetName val="2019 CBO Data"/>
      <sheetName val="2019 Modified Data"/>
      <sheetName val="Force Cost Analysis"/>
      <sheetName val="Conversion Factors"/>
    </sheetNames>
    <sheetDataSet>
      <sheetData sheetId="0"/>
      <sheetData sheetId="1"/>
      <sheetData sheetId="2"/>
      <sheetData sheetId="3"/>
      <sheetData sheetId="4">
        <row r="2">
          <cell r="G2">
            <v>601</v>
          </cell>
          <cell r="H2">
            <v>870</v>
          </cell>
          <cell r="I2">
            <v>1333</v>
          </cell>
          <cell r="J2">
            <v>2804</v>
          </cell>
          <cell r="K2">
            <v>11</v>
          </cell>
        </row>
        <row r="3">
          <cell r="G3">
            <v>210</v>
          </cell>
          <cell r="H3">
            <v>387</v>
          </cell>
          <cell r="I3">
            <v>258</v>
          </cell>
          <cell r="J3">
            <v>855</v>
          </cell>
          <cell r="K3">
            <v>5</v>
          </cell>
        </row>
        <row r="4">
          <cell r="G4">
            <v>544</v>
          </cell>
          <cell r="H4">
            <v>822</v>
          </cell>
          <cell r="I4">
            <v>1392</v>
          </cell>
          <cell r="J4">
            <v>2758</v>
          </cell>
          <cell r="K4">
            <v>7</v>
          </cell>
        </row>
        <row r="5">
          <cell r="G5">
            <v>180</v>
          </cell>
          <cell r="H5">
            <v>366</v>
          </cell>
          <cell r="I5">
            <v>252</v>
          </cell>
          <cell r="J5">
            <v>798</v>
          </cell>
          <cell r="K5">
            <v>2</v>
          </cell>
        </row>
        <row r="6">
          <cell r="G6">
            <v>542</v>
          </cell>
          <cell r="H6">
            <v>774</v>
          </cell>
          <cell r="I6">
            <v>1360</v>
          </cell>
          <cell r="J6">
            <v>2676</v>
          </cell>
          <cell r="K6">
            <v>13</v>
          </cell>
        </row>
        <row r="7">
          <cell r="G7">
            <v>162</v>
          </cell>
          <cell r="H7">
            <v>345</v>
          </cell>
          <cell r="I7">
            <v>239</v>
          </cell>
          <cell r="J7">
            <v>746</v>
          </cell>
          <cell r="K7">
            <v>20</v>
          </cell>
        </row>
        <row r="8">
          <cell r="G8">
            <v>454</v>
          </cell>
          <cell r="H8">
            <v>0</v>
          </cell>
          <cell r="I8">
            <v>385</v>
          </cell>
          <cell r="J8">
            <v>839</v>
          </cell>
          <cell r="K8">
            <v>13</v>
          </cell>
        </row>
        <row r="9">
          <cell r="G9">
            <v>155</v>
          </cell>
          <cell r="H9">
            <v>0</v>
          </cell>
          <cell r="I9">
            <v>44</v>
          </cell>
          <cell r="J9">
            <v>199</v>
          </cell>
          <cell r="K9">
            <v>12</v>
          </cell>
        </row>
        <row r="10">
          <cell r="C10">
            <v>32368</v>
          </cell>
          <cell r="D10">
            <v>0</v>
          </cell>
          <cell r="E10">
            <v>12734</v>
          </cell>
          <cell r="F10">
            <v>45102</v>
          </cell>
          <cell r="G10">
            <v>3559</v>
          </cell>
          <cell r="H10">
            <v>0</v>
          </cell>
          <cell r="I10">
            <v>4464</v>
          </cell>
          <cell r="J10">
            <v>8023</v>
          </cell>
        </row>
        <row r="11">
          <cell r="G11">
            <v>515</v>
          </cell>
          <cell r="H11">
            <v>198</v>
          </cell>
          <cell r="I11">
            <v>543</v>
          </cell>
          <cell r="J11">
            <v>1256</v>
          </cell>
          <cell r="K11">
            <v>11</v>
          </cell>
        </row>
        <row r="12">
          <cell r="G12">
            <v>375</v>
          </cell>
          <cell r="H12">
            <v>217</v>
          </cell>
          <cell r="I12">
            <v>431</v>
          </cell>
          <cell r="J12">
            <v>1023</v>
          </cell>
          <cell r="K12">
            <v>10</v>
          </cell>
        </row>
        <row r="13">
          <cell r="G13">
            <v>61</v>
          </cell>
          <cell r="H13">
            <v>24</v>
          </cell>
          <cell r="I13">
            <v>59</v>
          </cell>
          <cell r="J13">
            <v>144</v>
          </cell>
          <cell r="K13">
            <v>70</v>
          </cell>
        </row>
        <row r="14">
          <cell r="G14">
            <v>72</v>
          </cell>
          <cell r="H14">
            <v>29</v>
          </cell>
          <cell r="I14">
            <v>71</v>
          </cell>
          <cell r="J14">
            <v>172</v>
          </cell>
          <cell r="K14">
            <v>22</v>
          </cell>
        </row>
        <row r="15">
          <cell r="G15">
            <v>52</v>
          </cell>
          <cell r="H15">
            <v>22</v>
          </cell>
          <cell r="I15">
            <v>38</v>
          </cell>
          <cell r="J15">
            <v>112</v>
          </cell>
          <cell r="K15">
            <v>23</v>
          </cell>
        </row>
        <row r="16">
          <cell r="G16">
            <v>68</v>
          </cell>
          <cell r="H16">
            <v>28</v>
          </cell>
          <cell r="I16">
            <v>43</v>
          </cell>
          <cell r="J16">
            <v>139</v>
          </cell>
          <cell r="K16">
            <v>3</v>
          </cell>
        </row>
        <row r="17">
          <cell r="G17">
            <v>77</v>
          </cell>
          <cell r="H17">
            <v>46</v>
          </cell>
          <cell r="I17">
            <v>34</v>
          </cell>
          <cell r="J17">
            <v>157</v>
          </cell>
          <cell r="K17">
            <v>53</v>
          </cell>
        </row>
        <row r="18">
          <cell r="G18">
            <v>119</v>
          </cell>
          <cell r="H18">
            <v>46</v>
          </cell>
          <cell r="I18">
            <v>124</v>
          </cell>
          <cell r="J18">
            <v>289</v>
          </cell>
          <cell r="K18">
            <v>35</v>
          </cell>
        </row>
        <row r="19">
          <cell r="G19">
            <v>139</v>
          </cell>
          <cell r="H19">
            <v>166</v>
          </cell>
          <cell r="I19">
            <v>510</v>
          </cell>
          <cell r="J19">
            <v>815</v>
          </cell>
          <cell r="K19">
            <v>24</v>
          </cell>
        </row>
        <row r="20">
          <cell r="G20">
            <v>74</v>
          </cell>
          <cell r="H20">
            <v>55</v>
          </cell>
          <cell r="I20">
            <v>380</v>
          </cell>
          <cell r="J20">
            <v>509</v>
          </cell>
          <cell r="K20">
            <v>8</v>
          </cell>
        </row>
        <row r="21">
          <cell r="G21">
            <v>199</v>
          </cell>
          <cell r="H21">
            <v>179</v>
          </cell>
          <cell r="I21">
            <v>234</v>
          </cell>
          <cell r="J21">
            <v>612</v>
          </cell>
        </row>
        <row r="22">
          <cell r="G22">
            <v>72</v>
          </cell>
          <cell r="H22">
            <v>42</v>
          </cell>
          <cell r="I22">
            <v>57</v>
          </cell>
          <cell r="J22">
            <v>171</v>
          </cell>
        </row>
        <row r="23">
          <cell r="G23">
            <v>119</v>
          </cell>
          <cell r="H23">
            <v>69</v>
          </cell>
          <cell r="I23">
            <v>157</v>
          </cell>
          <cell r="J23">
            <v>345</v>
          </cell>
          <cell r="K23">
            <v>6.5</v>
          </cell>
        </row>
        <row r="24">
          <cell r="C24">
            <v>8544</v>
          </cell>
          <cell r="D24">
            <v>0</v>
          </cell>
          <cell r="E24">
            <v>5498</v>
          </cell>
          <cell r="F24">
            <v>14042</v>
          </cell>
          <cell r="G24">
            <v>761</v>
          </cell>
          <cell r="H24">
            <v>0</v>
          </cell>
          <cell r="I24">
            <v>1187</v>
          </cell>
          <cell r="J24">
            <v>1948</v>
          </cell>
        </row>
        <row r="25">
          <cell r="C25">
            <v>9717</v>
          </cell>
          <cell r="D25">
            <v>0</v>
          </cell>
          <cell r="E25">
            <v>6253</v>
          </cell>
          <cell r="F25">
            <v>15970</v>
          </cell>
          <cell r="G25">
            <v>1107</v>
          </cell>
          <cell r="H25">
            <v>0</v>
          </cell>
          <cell r="I25">
            <v>1350</v>
          </cell>
          <cell r="J25">
            <v>2457</v>
          </cell>
        </row>
        <row r="26">
          <cell r="C26">
            <v>380</v>
          </cell>
          <cell r="D26">
            <v>0</v>
          </cell>
          <cell r="E26">
            <v>244</v>
          </cell>
          <cell r="F26">
            <v>624</v>
          </cell>
          <cell r="G26">
            <v>35</v>
          </cell>
          <cell r="H26">
            <v>0</v>
          </cell>
          <cell r="I26">
            <v>53</v>
          </cell>
          <cell r="J26">
            <v>88</v>
          </cell>
        </row>
        <row r="27">
          <cell r="G27">
            <v>60</v>
          </cell>
          <cell r="H27">
            <v>64</v>
          </cell>
          <cell r="I27">
            <v>107</v>
          </cell>
          <cell r="J27">
            <v>231</v>
          </cell>
          <cell r="K27">
            <v>16.25</v>
          </cell>
        </row>
        <row r="28">
          <cell r="G28">
            <v>95</v>
          </cell>
          <cell r="H28">
            <v>86</v>
          </cell>
          <cell r="I28">
            <v>140</v>
          </cell>
          <cell r="J28">
            <v>321</v>
          </cell>
          <cell r="K28">
            <v>24.5</v>
          </cell>
        </row>
        <row r="29">
          <cell r="G29">
            <v>71</v>
          </cell>
          <cell r="H29">
            <v>55</v>
          </cell>
          <cell r="I29">
            <v>111</v>
          </cell>
          <cell r="J29">
            <v>237</v>
          </cell>
          <cell r="K29">
            <v>40.75</v>
          </cell>
        </row>
        <row r="30">
          <cell r="G30">
            <v>132</v>
          </cell>
          <cell r="H30">
            <v>168</v>
          </cell>
          <cell r="I30">
            <v>210</v>
          </cell>
          <cell r="J30">
            <v>510</v>
          </cell>
          <cell r="K30">
            <v>13.083333333333334</v>
          </cell>
        </row>
        <row r="31">
          <cell r="G31">
            <v>132</v>
          </cell>
          <cell r="H31">
            <v>221</v>
          </cell>
          <cell r="I31">
            <v>266</v>
          </cell>
          <cell r="J31">
            <v>619</v>
          </cell>
          <cell r="K31">
            <v>8.3333333333333339</v>
          </cell>
        </row>
        <row r="32">
          <cell r="G32">
            <v>278</v>
          </cell>
          <cell r="H32">
            <v>178</v>
          </cell>
          <cell r="I32">
            <v>350</v>
          </cell>
          <cell r="J32">
            <v>806</v>
          </cell>
          <cell r="K32">
            <v>3.75</v>
          </cell>
        </row>
        <row r="33">
          <cell r="G33">
            <v>238</v>
          </cell>
          <cell r="H33">
            <v>246</v>
          </cell>
          <cell r="I33">
            <v>365</v>
          </cell>
          <cell r="J33">
            <v>849</v>
          </cell>
          <cell r="K33">
            <v>4.25</v>
          </cell>
        </row>
        <row r="34">
          <cell r="G34">
            <v>535</v>
          </cell>
          <cell r="H34">
            <v>527</v>
          </cell>
          <cell r="I34">
            <v>774</v>
          </cell>
          <cell r="J34">
            <v>1836</v>
          </cell>
          <cell r="K34">
            <v>1.3333333333333333</v>
          </cell>
        </row>
        <row r="35">
          <cell r="G35">
            <v>121</v>
          </cell>
          <cell r="H35">
            <v>87</v>
          </cell>
          <cell r="I35">
            <v>200</v>
          </cell>
          <cell r="J35">
            <v>408</v>
          </cell>
          <cell r="K35">
            <v>18.083333333333332</v>
          </cell>
        </row>
        <row r="36">
          <cell r="G36">
            <v>120</v>
          </cell>
          <cell r="H36">
            <v>120</v>
          </cell>
          <cell r="I36">
            <v>214</v>
          </cell>
          <cell r="J36">
            <v>454</v>
          </cell>
          <cell r="K36">
            <v>3.8333333333333335</v>
          </cell>
        </row>
        <row r="37">
          <cell r="G37">
            <v>95</v>
          </cell>
          <cell r="H37">
            <v>67</v>
          </cell>
          <cell r="I37">
            <v>133</v>
          </cell>
          <cell r="J37">
            <v>295</v>
          </cell>
          <cell r="K37">
            <v>15.666666666666666</v>
          </cell>
        </row>
        <row r="38">
          <cell r="G38">
            <v>104</v>
          </cell>
          <cell r="H38">
            <v>96</v>
          </cell>
          <cell r="I38">
            <v>169</v>
          </cell>
          <cell r="J38">
            <v>369</v>
          </cell>
          <cell r="K38">
            <v>26.666666666666668</v>
          </cell>
        </row>
        <row r="39">
          <cell r="G39">
            <v>143</v>
          </cell>
          <cell r="H39">
            <v>171</v>
          </cell>
          <cell r="I39">
            <v>271</v>
          </cell>
          <cell r="J39">
            <v>585</v>
          </cell>
          <cell r="K39">
            <v>3.75</v>
          </cell>
        </row>
        <row r="40">
          <cell r="G40">
            <v>126</v>
          </cell>
          <cell r="H40">
            <v>10</v>
          </cell>
          <cell r="I40">
            <v>106</v>
          </cell>
          <cell r="J40">
            <v>242</v>
          </cell>
          <cell r="K40">
            <v>4.75</v>
          </cell>
        </row>
        <row r="41">
          <cell r="G41">
            <v>78</v>
          </cell>
          <cell r="H41">
            <v>109</v>
          </cell>
          <cell r="I41">
            <v>151</v>
          </cell>
          <cell r="J41">
            <v>338</v>
          </cell>
          <cell r="K41">
            <v>4.666666666666667</v>
          </cell>
        </row>
        <row r="42">
          <cell r="G42">
            <v>55</v>
          </cell>
          <cell r="H42">
            <v>39</v>
          </cell>
          <cell r="I42">
            <v>91</v>
          </cell>
          <cell r="J42">
            <v>185</v>
          </cell>
          <cell r="K42">
            <v>23.666666666666668</v>
          </cell>
        </row>
        <row r="43">
          <cell r="G43">
            <v>169</v>
          </cell>
          <cell r="H43">
            <v>95</v>
          </cell>
          <cell r="I43">
            <v>197</v>
          </cell>
          <cell r="J43">
            <v>461</v>
          </cell>
          <cell r="K43">
            <v>8</v>
          </cell>
        </row>
        <row r="44">
          <cell r="C44">
            <v>10673</v>
          </cell>
          <cell r="D44">
            <v>0</v>
          </cell>
          <cell r="E44">
            <v>6454</v>
          </cell>
          <cell r="F44">
            <v>17127</v>
          </cell>
          <cell r="G44">
            <v>593</v>
          </cell>
          <cell r="H44">
            <v>0</v>
          </cell>
          <cell r="I44">
            <v>1488</v>
          </cell>
          <cell r="J44">
            <v>2081</v>
          </cell>
        </row>
        <row r="45">
          <cell r="C45">
            <v>16191</v>
          </cell>
          <cell r="D45">
            <v>0</v>
          </cell>
          <cell r="E45">
            <v>9791</v>
          </cell>
          <cell r="F45">
            <v>25982</v>
          </cell>
          <cell r="G45">
            <v>1878</v>
          </cell>
          <cell r="H45">
            <v>0</v>
          </cell>
          <cell r="I45">
            <v>2257</v>
          </cell>
          <cell r="J45">
            <v>4135</v>
          </cell>
        </row>
      </sheetData>
      <sheetData sheetId="5"/>
      <sheetData sheetId="6">
        <row r="6">
          <cell r="B6">
            <v>1321.5303600689344</v>
          </cell>
        </row>
        <row r="10">
          <cell r="B10">
            <v>1675.5341335110702</v>
          </cell>
        </row>
        <row r="19">
          <cell r="B19">
            <v>3896.1238137738205</v>
          </cell>
        </row>
        <row r="25">
          <cell r="B25">
            <v>344.02773436311622</v>
          </cell>
        </row>
        <row r="35">
          <cell r="B35">
            <v>2446.4033914763854</v>
          </cell>
        </row>
        <row r="45">
          <cell r="B45">
            <v>10629.388659269636</v>
          </cell>
        </row>
        <row r="56">
          <cell r="B56">
            <v>5447.935087856592</v>
          </cell>
        </row>
        <row r="62">
          <cell r="B62">
            <v>3676.6400126400004</v>
          </cell>
        </row>
        <row r="63">
          <cell r="B63">
            <v>39.396279100147204</v>
          </cell>
        </row>
        <row r="64">
          <cell r="B64">
            <v>4584.9863687040006</v>
          </cell>
        </row>
        <row r="65">
          <cell r="B65">
            <v>1063.2888000000003</v>
          </cell>
        </row>
        <row r="66">
          <cell r="B66">
            <v>620.96065920000012</v>
          </cell>
        </row>
        <row r="67">
          <cell r="B67">
            <v>2893.5464299203013</v>
          </cell>
        </row>
        <row r="68">
          <cell r="B68">
            <v>20.573612418965762</v>
          </cell>
        </row>
        <row r="69">
          <cell r="B69">
            <v>342.79261294320003</v>
          </cell>
        </row>
        <row r="70">
          <cell r="B70">
            <v>1687.3079425865651</v>
          </cell>
        </row>
        <row r="71">
          <cell r="B71">
            <v>95.744807629204004</v>
          </cell>
        </row>
        <row r="72">
          <cell r="B72">
            <v>80.278304400000025</v>
          </cell>
        </row>
        <row r="73">
          <cell r="B73">
            <v>210.47292000000002</v>
          </cell>
        </row>
        <row r="74">
          <cell r="B74">
            <v>392.66515334995205</v>
          </cell>
        </row>
        <row r="75">
          <cell r="B75">
            <v>45.354604161142767</v>
          </cell>
        </row>
        <row r="76">
          <cell r="B76">
            <v>27.416931132780835</v>
          </cell>
        </row>
        <row r="77">
          <cell r="B77">
            <v>156.49077531447361</v>
          </cell>
        </row>
        <row r="78">
          <cell r="B78">
            <v>128.91791022009713</v>
          </cell>
        </row>
        <row r="79">
          <cell r="B79">
            <v>57.750557066921331</v>
          </cell>
        </row>
        <row r="80">
          <cell r="B80">
            <v>159.39315819504003</v>
          </cell>
        </row>
        <row r="81">
          <cell r="B81">
            <v>1855.4223694757211</v>
          </cell>
        </row>
        <row r="83">
          <cell r="B83">
            <v>81.755296376469616</v>
          </cell>
        </row>
        <row r="84">
          <cell r="B84">
            <v>147.55885201122931</v>
          </cell>
        </row>
        <row r="93">
          <cell r="B93">
            <v>49</v>
          </cell>
        </row>
        <row r="95">
          <cell r="B95">
            <v>15037593.984962406</v>
          </cell>
        </row>
        <row r="98">
          <cell r="B98">
            <v>0.75</v>
          </cell>
        </row>
        <row r="100">
          <cell r="B100">
            <v>4511278.1954887221</v>
          </cell>
        </row>
        <row r="107">
          <cell r="B107">
            <v>0.57093713837475157</v>
          </cell>
        </row>
      </sheetData>
      <sheetData sheetId="7">
        <row r="22">
          <cell r="D22">
            <v>1.02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F215"/>
  <sheetViews>
    <sheetView showGridLines="0" tabSelected="1" zoomScale="90" zoomScaleNormal="90" workbookViewId="0">
      <pane ySplit="9" topLeftCell="A10" activePane="bottomLeft" state="frozen"/>
      <selection pane="bottomLeft" activeCell="L143" sqref="L143"/>
    </sheetView>
  </sheetViews>
  <sheetFormatPr defaultColWidth="0" defaultRowHeight="14.4" zeroHeight="1" x14ac:dyDescent="0.3"/>
  <cols>
    <col min="1" max="1" width="0.44140625" customWidth="1"/>
    <col min="2" max="2" width="0.33203125" customWidth="1"/>
    <col min="3" max="3" width="5" customWidth="1"/>
    <col min="4" max="4" width="26.44140625" customWidth="1"/>
    <col min="5" max="5" width="19.109375" customWidth="1"/>
    <col min="6" max="6" width="16.88671875" customWidth="1"/>
    <col min="7" max="7" width="11.6640625" bestFit="1" customWidth="1"/>
    <col min="8" max="8" width="21.6640625" bestFit="1" customWidth="1"/>
    <col min="9" max="9" width="17.44140625" customWidth="1"/>
    <col min="10" max="11" width="12.88671875" customWidth="1"/>
    <col min="12" max="12" width="19.88671875" customWidth="1"/>
    <col min="13" max="13" width="14.6640625" customWidth="1"/>
    <col min="14" max="14" width="14" customWidth="1"/>
    <col min="15" max="15" width="14.33203125" bestFit="1" customWidth="1"/>
    <col min="16" max="16" width="18.109375" customWidth="1"/>
    <col min="17" max="17" width="19.44140625" customWidth="1"/>
    <col min="18" max="18" width="16.88671875" customWidth="1"/>
    <col min="19" max="19" width="14.88671875" bestFit="1" customWidth="1"/>
    <col min="20" max="20" width="13.6640625" customWidth="1"/>
    <col min="21" max="21" width="0.33203125" customWidth="1"/>
    <col min="22" max="22" width="0.44140625" customWidth="1"/>
    <col min="23" max="23" width="32.44140625" hidden="1" customWidth="1"/>
    <col min="24" max="24" width="31.5546875" hidden="1" customWidth="1"/>
    <col min="25" max="25" width="22.5546875" hidden="1" customWidth="1"/>
    <col min="26" max="16384" width="18.33203125" hidden="1"/>
  </cols>
  <sheetData>
    <row r="1" spans="2:32" ht="3" customHeight="1" thickBot="1" x14ac:dyDescent="0.35">
      <c r="H1">
        <f>SUMPRODUCT($P$24:$P$31,Lists_Parameters!$N$51:$N$58)+(SUMPRODUCT('Wargame Calculator'!$Q$24:$Q$31,Lists_Parameters!$N$51:$N$58)*Lists_Parameters!$D$3)</f>
        <v>0</v>
      </c>
    </row>
    <row r="2" spans="2:32" ht="45.75" customHeight="1" x14ac:dyDescent="0.3">
      <c r="B2" s="129"/>
      <c r="C2" s="131"/>
      <c r="D2" s="318" t="s">
        <v>268</v>
      </c>
      <c r="E2" s="318"/>
      <c r="F2" s="318"/>
      <c r="G2" s="318"/>
      <c r="H2" s="318"/>
      <c r="I2" s="318"/>
      <c r="J2" s="318"/>
      <c r="K2" s="318"/>
      <c r="L2" s="318"/>
      <c r="M2" s="318"/>
      <c r="N2" s="318"/>
      <c r="O2" s="318"/>
      <c r="P2" s="318"/>
      <c r="Q2" s="318"/>
      <c r="R2" s="318"/>
      <c r="S2" s="318"/>
      <c r="T2" s="318"/>
      <c r="U2" s="101"/>
    </row>
    <row r="3" spans="2:32" ht="36" customHeight="1" thickBot="1" x14ac:dyDescent="0.35">
      <c r="B3" s="1"/>
      <c r="C3" s="2"/>
      <c r="D3" s="323" t="s">
        <v>478</v>
      </c>
      <c r="E3" s="323"/>
      <c r="F3" s="323"/>
      <c r="G3" s="323"/>
      <c r="H3" s="323"/>
      <c r="I3" s="323"/>
      <c r="J3" s="323"/>
      <c r="K3" s="323"/>
      <c r="L3" s="323"/>
      <c r="M3" s="323"/>
      <c r="N3" s="323"/>
      <c r="O3" s="323"/>
      <c r="P3" s="323"/>
      <c r="Q3" s="323"/>
      <c r="R3" s="323"/>
      <c r="S3" s="323"/>
      <c r="T3" s="323"/>
      <c r="U3" s="4"/>
    </row>
    <row r="4" spans="2:32" ht="18" customHeight="1" x14ac:dyDescent="0.4">
      <c r="B4" s="129"/>
      <c r="C4" s="303" t="s">
        <v>195</v>
      </c>
      <c r="D4" s="303"/>
      <c r="E4" s="303"/>
      <c r="F4" s="303"/>
      <c r="G4" s="303"/>
      <c r="H4" s="303"/>
      <c r="I4" s="303"/>
      <c r="J4" s="303"/>
      <c r="K4" s="303"/>
      <c r="L4" s="303"/>
      <c r="M4" s="303"/>
      <c r="N4" s="303"/>
      <c r="O4" s="303"/>
      <c r="P4" s="303"/>
      <c r="Q4" s="303"/>
      <c r="R4" s="303"/>
      <c r="S4" s="303"/>
      <c r="T4" s="303"/>
      <c r="U4" s="101"/>
    </row>
    <row r="5" spans="2:32" ht="18" x14ac:dyDescent="0.35">
      <c r="B5" s="1"/>
      <c r="C5" s="2"/>
      <c r="D5" s="140"/>
      <c r="E5" s="148" t="s">
        <v>63</v>
      </c>
      <c r="F5" s="148" t="s">
        <v>64</v>
      </c>
      <c r="G5" s="148" t="s">
        <v>78</v>
      </c>
      <c r="I5" s="164" t="s">
        <v>274</v>
      </c>
      <c r="J5" s="2"/>
      <c r="K5" s="149" t="s">
        <v>63</v>
      </c>
      <c r="L5" s="149" t="s">
        <v>64</v>
      </c>
      <c r="M5" s="149" t="s">
        <v>78</v>
      </c>
      <c r="N5" s="149" t="s">
        <v>55</v>
      </c>
      <c r="O5" s="2"/>
      <c r="T5" s="140"/>
      <c r="U5" s="4"/>
    </row>
    <row r="6" spans="2:32" ht="18" x14ac:dyDescent="0.35">
      <c r="B6" s="1"/>
      <c r="C6" s="2"/>
      <c r="D6" s="177" t="s">
        <v>490</v>
      </c>
      <c r="E6" s="147">
        <v>650</v>
      </c>
      <c r="F6" s="147">
        <f>ROUND(E6*1.02,0)</f>
        <v>663</v>
      </c>
      <c r="G6" s="147">
        <f>ROUND(F6*1.02,0)</f>
        <v>676</v>
      </c>
      <c r="I6" s="164" t="s">
        <v>470</v>
      </c>
      <c r="J6" s="2"/>
      <c r="K6" s="165">
        <f>IFERROR(R20,0)</f>
        <v>0</v>
      </c>
      <c r="L6" s="165">
        <f>IFERROR(R70,0)</f>
        <v>0</v>
      </c>
      <c r="M6" s="165">
        <f>IFERROR(R121,0)</f>
        <v>0</v>
      </c>
      <c r="N6" s="165">
        <f>SUM(K6:M6)</f>
        <v>0</v>
      </c>
      <c r="O6" s="2"/>
      <c r="T6" s="140"/>
      <c r="U6" s="4"/>
    </row>
    <row r="7" spans="2:32" ht="18.600000000000001" thickBot="1" x14ac:dyDescent="0.4">
      <c r="B7" s="1"/>
      <c r="C7" s="2"/>
      <c r="D7" s="142" t="s">
        <v>491</v>
      </c>
      <c r="E7" s="141">
        <f>IFERROR(E6-Q41,"")</f>
        <v>650</v>
      </c>
      <c r="F7" s="297">
        <f>F6-Q93</f>
        <v>663</v>
      </c>
      <c r="G7" s="297">
        <f>G6-Q144</f>
        <v>676</v>
      </c>
      <c r="I7" s="293" t="s">
        <v>482</v>
      </c>
      <c r="J7" s="294"/>
      <c r="K7" s="292">
        <f ca="1">IFERROR(P56,0)</f>
        <v>0</v>
      </c>
      <c r="L7" s="292">
        <f ca="1">IFERROR(P107,0)</f>
        <v>0</v>
      </c>
      <c r="M7" s="292">
        <f ca="1">IFERROR(P158,0)</f>
        <v>0</v>
      </c>
      <c r="N7" s="292">
        <f ca="1">SUM(K7:M7)</f>
        <v>0</v>
      </c>
      <c r="O7" s="2"/>
      <c r="T7" s="140"/>
      <c r="U7" s="4"/>
    </row>
    <row r="8" spans="2:32" ht="18.600000000000001" thickBot="1" x14ac:dyDescent="0.4">
      <c r="B8" s="1"/>
      <c r="C8" s="2"/>
      <c r="D8" s="296" t="s">
        <v>211</v>
      </c>
      <c r="I8" s="164" t="s">
        <v>55</v>
      </c>
      <c r="J8" s="2"/>
      <c r="K8" s="290">
        <f ca="1">SUM(K6:K7)</f>
        <v>0</v>
      </c>
      <c r="L8" s="290">
        <f t="shared" ref="L8:M8" ca="1" si="0">SUM(L6:L7)</f>
        <v>0</v>
      </c>
      <c r="M8" s="290">
        <f t="shared" ca="1" si="0"/>
        <v>0</v>
      </c>
      <c r="N8" s="291">
        <f ca="1">SUM(N6:N7)</f>
        <v>0</v>
      </c>
      <c r="O8" s="2"/>
      <c r="T8" s="140"/>
      <c r="U8" s="4"/>
    </row>
    <row r="9" spans="2:32" ht="18.75" customHeight="1" thickBot="1" x14ac:dyDescent="0.4">
      <c r="B9" s="5"/>
      <c r="C9" s="88"/>
      <c r="D9" s="179"/>
      <c r="E9" s="88"/>
      <c r="F9" s="88"/>
      <c r="G9" s="88"/>
      <c r="H9" s="88"/>
      <c r="I9" s="88"/>
      <c r="J9" s="88"/>
      <c r="K9" s="88"/>
      <c r="L9" s="88"/>
      <c r="M9" s="88"/>
      <c r="N9" s="88"/>
      <c r="O9" s="88"/>
      <c r="P9" s="88"/>
      <c r="Q9" s="88"/>
      <c r="R9" s="88"/>
      <c r="S9" s="88"/>
      <c r="T9" s="88"/>
      <c r="U9" s="6"/>
    </row>
    <row r="10" spans="2:32" ht="21" x14ac:dyDescent="0.4">
      <c r="B10" s="1"/>
      <c r="C10" s="303" t="s">
        <v>63</v>
      </c>
      <c r="D10" s="303"/>
      <c r="E10" s="303"/>
      <c r="F10" s="303"/>
      <c r="G10" s="303"/>
      <c r="H10" s="303"/>
      <c r="I10" s="303"/>
      <c r="J10" s="303"/>
      <c r="K10" s="303"/>
      <c r="L10" s="303"/>
      <c r="M10" s="303"/>
      <c r="N10" s="303"/>
      <c r="O10" s="303"/>
      <c r="P10" s="303"/>
      <c r="Q10" s="303"/>
      <c r="R10" s="303"/>
      <c r="S10" s="303"/>
      <c r="T10" s="303"/>
      <c r="U10" s="4"/>
      <c r="W10" s="20"/>
      <c r="X10" s="20"/>
      <c r="Y10" s="20"/>
      <c r="Z10" s="20"/>
      <c r="AA10" s="20"/>
      <c r="AB10" s="20"/>
      <c r="AC10" s="20"/>
      <c r="AD10" s="20"/>
      <c r="AE10" s="20"/>
      <c r="AF10" s="20"/>
    </row>
    <row r="11" spans="2:32" s="166" customFormat="1" ht="13.8" x14ac:dyDescent="0.3">
      <c r="B11" s="167"/>
      <c r="C11" s="301" t="s">
        <v>269</v>
      </c>
      <c r="D11" s="168"/>
      <c r="E11" s="168"/>
      <c r="F11" s="168"/>
      <c r="G11" s="168"/>
      <c r="H11" s="168"/>
      <c r="I11" s="168"/>
      <c r="J11" s="168"/>
      <c r="K11" s="168"/>
      <c r="L11" s="168"/>
      <c r="M11" s="168"/>
      <c r="N11" s="168"/>
      <c r="O11" s="168"/>
      <c r="P11" s="168"/>
      <c r="Q11" s="168"/>
      <c r="R11" s="168"/>
      <c r="S11" s="168"/>
      <c r="T11" s="168"/>
      <c r="U11" s="169"/>
      <c r="W11" s="170"/>
      <c r="X11" s="170"/>
      <c r="Y11" s="170"/>
      <c r="Z11" s="170"/>
      <c r="AA11" s="170"/>
      <c r="AB11" s="170"/>
      <c r="AC11" s="170"/>
      <c r="AD11" s="170"/>
      <c r="AE11" s="170"/>
      <c r="AF11" s="170"/>
    </row>
    <row r="12" spans="2:32" s="166" customFormat="1" ht="15.6" x14ac:dyDescent="0.3">
      <c r="B12" s="167"/>
      <c r="C12" s="301"/>
      <c r="D12" s="306" t="s">
        <v>264</v>
      </c>
      <c r="E12" s="306"/>
      <c r="F12" s="306"/>
      <c r="G12" s="306"/>
      <c r="H12" s="306"/>
      <c r="I12" s="306"/>
      <c r="J12" s="306"/>
      <c r="K12" s="306"/>
      <c r="L12" s="306"/>
      <c r="M12" s="306"/>
      <c r="N12" s="306"/>
      <c r="O12" s="306"/>
      <c r="P12" s="306"/>
      <c r="Q12" s="306"/>
      <c r="R12" s="306"/>
      <c r="S12" s="306"/>
      <c r="T12" s="306"/>
      <c r="U12" s="169"/>
      <c r="W12" s="170"/>
      <c r="X12" s="170"/>
      <c r="Y12" s="170"/>
      <c r="Z12" s="170"/>
      <c r="AA12" s="170"/>
      <c r="AB12" s="170"/>
      <c r="AC12" s="170"/>
      <c r="AD12" s="170"/>
      <c r="AE12" s="170"/>
      <c r="AF12" s="170"/>
    </row>
    <row r="13" spans="2:32" s="166" customFormat="1" ht="13.8" x14ac:dyDescent="0.3">
      <c r="B13" s="167"/>
      <c r="C13" s="301"/>
      <c r="D13" s="168"/>
      <c r="E13" s="168"/>
      <c r="F13" s="168"/>
      <c r="G13" s="168"/>
      <c r="H13" s="168"/>
      <c r="I13" s="168"/>
      <c r="J13" s="168"/>
      <c r="K13" s="168"/>
      <c r="L13" s="168"/>
      <c r="M13" s="168"/>
      <c r="N13" s="168"/>
      <c r="O13" s="168"/>
      <c r="P13" s="168"/>
      <c r="Q13" s="168"/>
      <c r="R13" s="168"/>
      <c r="S13" s="168"/>
      <c r="T13" s="168"/>
      <c r="U13" s="169"/>
      <c r="W13" s="170"/>
      <c r="X13" s="170"/>
      <c r="Y13" s="170"/>
      <c r="Z13" s="170"/>
      <c r="AA13" s="170"/>
      <c r="AB13" s="170"/>
      <c r="AC13" s="170"/>
      <c r="AD13" s="170"/>
      <c r="AE13" s="170"/>
      <c r="AF13" s="170"/>
    </row>
    <row r="14" spans="2:32" s="22" customFormat="1" ht="15" customHeight="1" x14ac:dyDescent="0.3">
      <c r="B14" s="130"/>
      <c r="C14" s="301"/>
      <c r="D14" s="300" t="s">
        <v>207</v>
      </c>
      <c r="E14" s="300"/>
      <c r="F14" s="300"/>
      <c r="G14" s="300"/>
      <c r="H14" s="300"/>
      <c r="I14" s="300"/>
      <c r="J14" s="300"/>
      <c r="L14" s="300" t="s">
        <v>417</v>
      </c>
      <c r="M14" s="300"/>
      <c r="N14" s="300"/>
      <c r="O14" s="300"/>
      <c r="P14" s="300"/>
      <c r="Q14" s="300"/>
      <c r="R14" s="300"/>
      <c r="S14"/>
      <c r="T14" s="233"/>
      <c r="U14" s="155"/>
      <c r="W14" s="156"/>
      <c r="X14" s="156"/>
      <c r="Y14" s="156"/>
      <c r="Z14" s="156"/>
      <c r="AA14" s="156"/>
      <c r="AB14" s="156"/>
      <c r="AC14" s="156"/>
      <c r="AD14" s="156"/>
      <c r="AE14" s="156"/>
      <c r="AF14" s="156"/>
    </row>
    <row r="15" spans="2:32" s="22" customFormat="1" ht="15" customHeight="1" x14ac:dyDescent="0.3">
      <c r="B15" s="130"/>
      <c r="C15" s="301"/>
      <c r="D15" s="150"/>
      <c r="E15" s="150"/>
      <c r="F15" s="150"/>
      <c r="G15" s="150"/>
      <c r="H15" s="150"/>
      <c r="I15" s="150"/>
      <c r="J15" s="150"/>
      <c r="M15" s="232"/>
      <c r="N15" s="232" t="s">
        <v>273</v>
      </c>
      <c r="O15" s="232" t="s">
        <v>278</v>
      </c>
      <c r="P15" s="232" t="s">
        <v>427</v>
      </c>
      <c r="Q15" s="235" t="s">
        <v>428</v>
      </c>
      <c r="R15" s="235" t="s">
        <v>274</v>
      </c>
      <c r="S15"/>
      <c r="T15" s="157"/>
      <c r="U15" s="155"/>
      <c r="W15" s="156"/>
      <c r="X15" s="156"/>
      <c r="Y15" s="156"/>
      <c r="Z15" s="156"/>
      <c r="AA15" s="156"/>
      <c r="AB15" s="156"/>
      <c r="AC15" s="156"/>
      <c r="AD15" s="156"/>
      <c r="AE15" s="156"/>
      <c r="AF15" s="156"/>
    </row>
    <row r="16" spans="2:32" s="22" customFormat="1" ht="15" customHeight="1" x14ac:dyDescent="0.4">
      <c r="B16" s="130"/>
      <c r="C16" s="301"/>
      <c r="D16" s="2" t="s">
        <v>75</v>
      </c>
      <c r="E16" s="203"/>
      <c r="F16" s="25" t="s">
        <v>73</v>
      </c>
      <c r="G16" s="17" t="e">
        <f>IF(E18=Lists_Parameters!$L$13,INDEX(Lists_Parameters!$C$36:$E$40,MATCH('Wargame Calculator'!E17,Lists_Parameters!$B$36:$B$40,0),MATCH('Wargame Calculator'!E16,Lists_Parameters!$C$35:$E$35,0))*2,INDEX(Lists_Parameters!$C$36:$E$40,MATCH('Wargame Calculator'!E17,Lists_Parameters!$B$36:$B$40,0),MATCH('Wargame Calculator'!E16,Lists_Parameters!$C$35:$E$35,0)))</f>
        <v>#N/A</v>
      </c>
      <c r="H16" s="2" t="s">
        <v>72</v>
      </c>
      <c r="I16" s="17" t="e">
        <f>VLOOKUP(E17,Lists_Parameters!$H$13:$J$17,3,FALSE)</f>
        <v>#N/A</v>
      </c>
      <c r="J16" s="2"/>
      <c r="L16" s="22" t="s">
        <v>423</v>
      </c>
      <c r="N16" s="298"/>
      <c r="O16" s="29">
        <f>SUMPRODUCT($P$24:$P$31,Lists_Parameters!$M$51:$M$58)+(SUMPRODUCT('Wargame Calculator'!$Q$24:$Q$31,Lists_Parameters!$M$51:$M$58)*Lists_Parameters!$D$3)</f>
        <v>0</v>
      </c>
      <c r="P16" s="29">
        <f>VLOOKUP(N16,Lists_Parameters!$L$62:$M$72,2,TRUE)</f>
        <v>12</v>
      </c>
      <c r="Q16" s="280"/>
      <c r="R16" s="29" t="e">
        <f>IF(Q16&lt;P16,VLOOKUP((P16-Q16),Lists_Parameters!$Q$61:$S$71,2,FALSE),0)</f>
        <v>#N/A</v>
      </c>
      <c r="T16" s="154"/>
      <c r="U16" s="155"/>
      <c r="W16" s="156"/>
      <c r="X16" s="156"/>
      <c r="Y16" s="156"/>
      <c r="Z16" s="156"/>
      <c r="AA16" s="156"/>
      <c r="AB16" s="156"/>
      <c r="AC16" s="156"/>
      <c r="AD16" s="156"/>
      <c r="AE16" s="156"/>
      <c r="AF16" s="156"/>
    </row>
    <row r="17" spans="2:32" s="22" customFormat="1" ht="15" customHeight="1" x14ac:dyDescent="0.4">
      <c r="B17" s="130"/>
      <c r="C17" s="301"/>
      <c r="D17" s="2" t="s">
        <v>246</v>
      </c>
      <c r="E17" s="203"/>
      <c r="F17" s="25" t="s">
        <v>84</v>
      </c>
      <c r="G17" s="17" t="str">
        <f>IFERROR(IF(E18=Lists_Parameters!$L$13,INDEX(Lists_Parameters!$G$36:$I$40,MATCH(((VLOOKUP(E17,Lists_Parameters!$H$13:$J$17,3,FALSE))-I17),Lists_Parameters!$F$36:$F$40,0),MATCH('Wargame Calculator'!E16,Lists_Parameters!$G$35:$I$35,0))*2,INDEX(Lists_Parameters!$G$36:$I$40,MATCH(((VLOOKUP(E17,Lists_Parameters!$H$13:$J$17,3,FALSE))-I17),Lists_Parameters!$F$36:$F$40,0),MATCH('Wargame Calculator'!E16,Lists_Parameters!$G$35:$I$35,0))),"")</f>
        <v/>
      </c>
      <c r="H17" s="2" t="s">
        <v>179</v>
      </c>
      <c r="I17" s="112"/>
      <c r="J17" s="2"/>
      <c r="L17" s="22" t="s">
        <v>424</v>
      </c>
      <c r="N17" s="298"/>
      <c r="O17" s="29">
        <f>SUMPRODUCT($P$24:$P$31,Lists_Parameters!$N$51:$N$58)+(SUMPRODUCT('Wargame Calculator'!$Q$24:$Q$31,Lists_Parameters!$N$51:$N$58)*Lists_Parameters!$D$3)</f>
        <v>0</v>
      </c>
      <c r="P17" s="29">
        <f>VLOOKUP(N17,Lists_Parameters!$L$62:$M$72,2,TRUE)</f>
        <v>12</v>
      </c>
      <c r="Q17" s="280"/>
      <c r="R17" s="29" t="e">
        <f>IF(Q17&lt;P17,VLOOKUP((P17-Q17),Lists_Parameters!$Q$61:$S$71,2,FALSE),0)</f>
        <v>#N/A</v>
      </c>
      <c r="T17" s="154"/>
      <c r="U17" s="155"/>
      <c r="W17" s="156"/>
      <c r="X17" s="156"/>
      <c r="Y17" s="156"/>
      <c r="Z17" s="156"/>
      <c r="AA17" s="156"/>
      <c r="AB17" s="156"/>
      <c r="AC17" s="156"/>
      <c r="AD17" s="156"/>
      <c r="AE17" s="156"/>
      <c r="AF17" s="156"/>
    </row>
    <row r="18" spans="2:32" s="22" customFormat="1" ht="15" customHeight="1" x14ac:dyDescent="0.4">
      <c r="B18" s="130"/>
      <c r="C18" s="301"/>
      <c r="D18" s="25" t="s">
        <v>139</v>
      </c>
      <c r="E18" s="29" t="str">
        <f>IF(Select_Tech_Level&gt;2,"Yes","No")</f>
        <v>No</v>
      </c>
      <c r="F18" s="2"/>
      <c r="G18" s="2"/>
      <c r="H18" t="s">
        <v>180</v>
      </c>
      <c r="I18" s="112"/>
      <c r="J18" s="2"/>
      <c r="L18" s="2" t="s">
        <v>425</v>
      </c>
      <c r="N18" s="298"/>
      <c r="O18" s="29">
        <f>SUMPRODUCT($P$24:$P$31,Lists_Parameters!$O$51:$O$58)+(SUMPRODUCT('Wargame Calculator'!$Q$24:$Q$31,Lists_Parameters!$O$51:$O$58)*Lists_Parameters!$D$3)</f>
        <v>0</v>
      </c>
      <c r="P18" s="29">
        <f>VLOOKUP(N18,Lists_Parameters!$L$62:$M$72,2,TRUE)</f>
        <v>12</v>
      </c>
      <c r="Q18" s="280"/>
      <c r="R18" s="29" t="e">
        <f>IF(Q18&lt;P18,VLOOKUP((P18-Q18),Lists_Parameters!$Q$61:$S$71,2,FALSE),0)</f>
        <v>#N/A</v>
      </c>
      <c r="T18" s="154"/>
      <c r="U18" s="155"/>
      <c r="W18" s="156"/>
      <c r="X18" s="156"/>
      <c r="Y18" s="156"/>
      <c r="Z18" s="156"/>
      <c r="AA18" s="156"/>
      <c r="AB18" s="156"/>
      <c r="AC18" s="156"/>
      <c r="AD18" s="156"/>
      <c r="AE18" s="156"/>
      <c r="AF18" s="156"/>
    </row>
    <row r="19" spans="2:32" s="22" customFormat="1" ht="15" customHeight="1" thickBot="1" x14ac:dyDescent="0.45">
      <c r="B19" s="130"/>
      <c r="C19" s="301"/>
      <c r="D19" s="25" t="s">
        <v>178</v>
      </c>
      <c r="E19" s="204" t="s">
        <v>95</v>
      </c>
      <c r="F19" s="2"/>
      <c r="G19" s="2"/>
      <c r="H19" s="2" t="s">
        <v>76</v>
      </c>
      <c r="I19" s="78">
        <f>IF(AND(Select_Expedite="Yes",Select_Risk_Level&lt;3),"Check Risk Level",IFERROR(IF(I17="",0,IF(I17&gt;=VLOOKUP(E17,Lists_Parameters!$H$13:$J$17,3,FALSE),G16,IF(Num_RD_Retries="No",G16,(G16+G17)))),0))</f>
        <v>0</v>
      </c>
      <c r="J19" s="2"/>
      <c r="L19" s="22" t="s">
        <v>426</v>
      </c>
      <c r="N19" s="298"/>
      <c r="O19" s="29">
        <f>SUMPRODUCT($P$24:$P$31,Lists_Parameters!$P$51:$P$58)+(SUMPRODUCT('Wargame Calculator'!$Q$24:$Q$31,Lists_Parameters!$P$51:$P$58)*Lists_Parameters!$D$3)</f>
        <v>0</v>
      </c>
      <c r="P19" s="29">
        <f>VLOOKUP(N19,Lists_Parameters!$L$62:$M$72,2,TRUE)</f>
        <v>12</v>
      </c>
      <c r="Q19" s="280"/>
      <c r="R19" s="29" t="e">
        <f>IF(Q19&lt;P19,VLOOKUP((P19-Q19),Lists_Parameters!$Q$61:$S$71,2,FALSE),0)</f>
        <v>#N/A</v>
      </c>
      <c r="S19" s="154"/>
      <c r="T19" s="154"/>
      <c r="U19" s="155"/>
      <c r="W19" s="156"/>
      <c r="X19" s="156"/>
      <c r="Y19" s="156"/>
      <c r="Z19" s="156"/>
      <c r="AA19" s="156"/>
      <c r="AB19" s="156"/>
      <c r="AC19" s="156"/>
      <c r="AD19" s="156"/>
      <c r="AE19" s="156"/>
      <c r="AF19" s="156"/>
    </row>
    <row r="20" spans="2:32" s="22" customFormat="1" ht="15" customHeight="1" thickBot="1" x14ac:dyDescent="0.45">
      <c r="B20" s="130"/>
      <c r="C20" s="301"/>
      <c r="D20" s="178" t="s">
        <v>210</v>
      </c>
      <c r="E20" s="2"/>
      <c r="F20" s="2"/>
      <c r="G20" s="2"/>
      <c r="H20" s="2"/>
      <c r="I20" s="2"/>
      <c r="J20" s="2"/>
      <c r="L20" s="32" t="s">
        <v>421</v>
      </c>
      <c r="N20" s="272" t="e">
        <f>SUMPRODUCT(N16:N19,O16:O19)/SUM(O16:O19)</f>
        <v>#DIV/0!</v>
      </c>
      <c r="O20" s="2"/>
      <c r="P20" s="2"/>
      <c r="Q20" s="235" t="s">
        <v>468</v>
      </c>
      <c r="R20" s="277" t="e">
        <f>SUM(R16:R19)</f>
        <v>#N/A</v>
      </c>
      <c r="S20" s="154"/>
      <c r="T20" s="154"/>
      <c r="U20" s="155"/>
      <c r="W20" s="156"/>
      <c r="X20" s="156"/>
      <c r="Y20" s="156"/>
      <c r="Z20" s="156"/>
      <c r="AA20" s="156"/>
      <c r="AB20" s="156"/>
      <c r="AC20" s="156"/>
      <c r="AD20" s="156"/>
      <c r="AE20" s="156"/>
      <c r="AF20" s="156"/>
    </row>
    <row r="21" spans="2:32" s="22" customFormat="1" ht="15" customHeight="1" x14ac:dyDescent="0.4">
      <c r="B21" s="130"/>
      <c r="C21" s="301"/>
      <c r="D21" s="231"/>
      <c r="E21" s="154"/>
      <c r="F21" s="154"/>
      <c r="G21" s="154"/>
      <c r="H21" s="154"/>
      <c r="I21" s="154"/>
      <c r="J21" s="154"/>
      <c r="L21" s="32" t="s">
        <v>422</v>
      </c>
      <c r="N21" s="154"/>
      <c r="O21" s="154"/>
      <c r="P21" s="154"/>
      <c r="Q21" s="235" t="s">
        <v>469</v>
      </c>
      <c r="R21" s="154"/>
      <c r="S21" s="154"/>
      <c r="T21" s="154"/>
      <c r="U21" s="155"/>
      <c r="W21" s="156"/>
      <c r="X21" s="156"/>
      <c r="Y21" s="156"/>
      <c r="Z21" s="156"/>
      <c r="AA21" s="156"/>
      <c r="AB21" s="156"/>
      <c r="AC21" s="156"/>
      <c r="AD21" s="156"/>
      <c r="AE21" s="156"/>
      <c r="AF21" s="156"/>
    </row>
    <row r="22" spans="2:32" ht="15" customHeight="1" x14ac:dyDescent="0.3">
      <c r="B22" s="1"/>
      <c r="C22" s="301"/>
      <c r="D22" s="2"/>
      <c r="E22" s="308" t="s">
        <v>140</v>
      </c>
      <c r="F22" s="308"/>
      <c r="G22" s="308"/>
      <c r="H22" s="308"/>
      <c r="I22" s="308"/>
      <c r="J22" s="2"/>
      <c r="K22" s="307" t="s">
        <v>205</v>
      </c>
      <c r="L22" s="307"/>
      <c r="M22" s="307"/>
      <c r="N22" s="307"/>
      <c r="O22" s="2"/>
      <c r="P22" s="319" t="s">
        <v>492</v>
      </c>
      <c r="Q22" s="320"/>
      <c r="R22" s="325" t="s">
        <v>493</v>
      </c>
      <c r="S22" s="319"/>
      <c r="T22" s="319"/>
      <c r="U22" s="4"/>
    </row>
    <row r="23" spans="2:32" ht="27" customHeight="1" x14ac:dyDescent="0.3">
      <c r="B23" s="1"/>
      <c r="C23" s="301"/>
      <c r="D23" s="2"/>
      <c r="E23" s="102" t="str">
        <f>'Tables for Printing'!D3</f>
        <v>Procurement Cost</v>
      </c>
      <c r="F23" s="102" t="str">
        <f>'Tables for Printing'!E3</f>
        <v>Readiness Cost</v>
      </c>
      <c r="G23" s="102" t="str">
        <f>'Tables for Printing'!F3</f>
        <v>Offense</v>
      </c>
      <c r="H23" s="102" t="str">
        <f>'Tables for Printing'!G3</f>
        <v>Defense</v>
      </c>
      <c r="I23" s="102" t="str">
        <f>'Tables for Printing'!H3</f>
        <v>Enabler Requirement</v>
      </c>
      <c r="J23" s="103"/>
      <c r="K23" s="103" t="s">
        <v>197</v>
      </c>
      <c r="L23" s="103" t="s">
        <v>1</v>
      </c>
      <c r="M23" s="103" t="s">
        <v>198</v>
      </c>
      <c r="N23" s="103" t="s">
        <v>204</v>
      </c>
      <c r="O23" s="103"/>
      <c r="P23" s="103" t="s">
        <v>52</v>
      </c>
      <c r="Q23" s="103" t="s">
        <v>53</v>
      </c>
      <c r="R23" s="84" t="s">
        <v>186</v>
      </c>
      <c r="S23" s="104" t="s">
        <v>187</v>
      </c>
      <c r="T23" s="104" t="s">
        <v>188</v>
      </c>
      <c r="U23" s="4"/>
      <c r="V23" s="180"/>
      <c r="W23" s="180" t="s">
        <v>248</v>
      </c>
      <c r="X23" s="21" t="s">
        <v>85</v>
      </c>
      <c r="Y23" s="21" t="s">
        <v>86</v>
      </c>
    </row>
    <row r="24" spans="2:32" ht="15" customHeight="1" x14ac:dyDescent="0.3">
      <c r="B24" s="1"/>
      <c r="C24" s="301"/>
      <c r="D24" s="2" t="str">
        <f>'Tables for Printing'!C4</f>
        <v>Infantry</v>
      </c>
      <c r="E24" s="17">
        <f>'Tables for Printing'!D4</f>
        <v>12</v>
      </c>
      <c r="F24" s="29" t="str">
        <f>'Tables for Printing'!E4</f>
        <v>7 (2/3/1/1)</v>
      </c>
      <c r="G24" s="17">
        <f>IF(OR(R24&lt;&gt;"",M75&lt;&gt;"",M126&lt;&gt;""),'Tables for Printing'!F4+2,'Tables for Printing'!F4)</f>
        <v>4</v>
      </c>
      <c r="H24" s="17">
        <f>IF(OR(S24&lt;&gt;"",N75&lt;&gt;"",N126&lt;&gt;""),'Tables for Printing'!G4+2,'Tables for Printing'!G4)</f>
        <v>6</v>
      </c>
      <c r="I24" s="17">
        <f>IF(OR(T24&lt;&gt;"",O75&lt;&gt;"",O126&lt;&gt;""),'Tables for Printing'!H4-2,'Tables for Printing'!H4)</f>
        <v>5</v>
      </c>
      <c r="J24" s="2"/>
      <c r="K24" s="17">
        <f>G24*($P24+$Q24)</f>
        <v>0</v>
      </c>
      <c r="L24" s="17">
        <f>H24*($P24+$Q24)</f>
        <v>0</v>
      </c>
      <c r="M24" s="17">
        <f>I24*($P24+$Q24)</f>
        <v>0</v>
      </c>
      <c r="O24" s="2"/>
      <c r="P24" s="106"/>
      <c r="Q24" s="107"/>
      <c r="R24" s="108"/>
      <c r="S24" s="109"/>
      <c r="T24" s="123"/>
      <c r="U24" s="4"/>
      <c r="W24">
        <f>COUNTIFS(R24:T24,"Round 1")*SUM(P24:Q24)</f>
        <v>0</v>
      </c>
      <c r="X24">
        <f>IF(OR('Wargame Calculator'!R24&lt;&gt;"",'Wargame Calculator'!S24&lt;&gt;"",T24&lt;&gt;""),1,0)</f>
        <v>0</v>
      </c>
      <c r="Y24">
        <f t="shared" ref="Y24:Y30" si="1">X24*SUM(P24:Q24)</f>
        <v>0</v>
      </c>
    </row>
    <row r="25" spans="2:32" ht="15" customHeight="1" x14ac:dyDescent="0.3">
      <c r="B25" s="1"/>
      <c r="C25" s="301"/>
      <c r="D25" s="2" t="str">
        <f>'Tables for Printing'!C5</f>
        <v>Armor</v>
      </c>
      <c r="E25" s="17">
        <f>'Tables for Printing'!D5</f>
        <v>14</v>
      </c>
      <c r="F25" s="29" t="str">
        <f>'Tables for Printing'!E5</f>
        <v>10 (3/3/2/2)</v>
      </c>
      <c r="G25" s="17">
        <f>IF(OR(R25&lt;&gt;"",M76&lt;&gt;"",M127&lt;&gt;""),'Tables for Printing'!F5+2,'Tables for Printing'!F5)</f>
        <v>9</v>
      </c>
      <c r="H25" s="17">
        <f>IF(OR(S25&lt;&gt;"",N76&lt;&gt;"",N127&lt;&gt;""),'Tables for Printing'!G5+2,'Tables for Printing'!G5)</f>
        <v>5</v>
      </c>
      <c r="I25" s="17">
        <f>IF(OR(T25&lt;&gt;"",O76&lt;&gt;"",O127&lt;&gt;""),'Tables for Printing'!H5-2,'Tables for Printing'!H5)</f>
        <v>10</v>
      </c>
      <c r="J25" s="2"/>
      <c r="K25" s="17">
        <f t="shared" ref="K25:K31" si="2">G25*($P25+$Q25)</f>
        <v>0</v>
      </c>
      <c r="L25" s="17">
        <f t="shared" ref="L25:L31" si="3">H25*($P25+$Q25)</f>
        <v>0</v>
      </c>
      <c r="M25" s="17">
        <f t="shared" ref="M25:M31" si="4">I25*($P25+$Q25)</f>
        <v>0</v>
      </c>
      <c r="O25" s="2"/>
      <c r="P25" s="106"/>
      <c r="Q25" s="107"/>
      <c r="R25" s="108"/>
      <c r="S25" s="109"/>
      <c r="T25" s="123"/>
      <c r="U25" s="4"/>
      <c r="W25">
        <f t="shared" ref="W25:W30" si="5">COUNTIFS(R25:T25,"Round 1")*SUM(P25:Q25)</f>
        <v>0</v>
      </c>
      <c r="X25">
        <f>IF(OR('Wargame Calculator'!R25&lt;&gt;"",'Wargame Calculator'!S25&lt;&gt;"",T25&lt;&gt;""),1,0)</f>
        <v>0</v>
      </c>
      <c r="Y25">
        <f t="shared" si="1"/>
        <v>0</v>
      </c>
    </row>
    <row r="26" spans="2:32" ht="15" customHeight="1" x14ac:dyDescent="0.3">
      <c r="B26" s="1"/>
      <c r="C26" s="301"/>
      <c r="D26" s="2" t="str">
        <f>'Tables for Printing'!C6</f>
        <v>Stryker</v>
      </c>
      <c r="E26" s="17">
        <f>'Tables for Printing'!D6</f>
        <v>13</v>
      </c>
      <c r="F26" s="29" t="str">
        <f>'Tables for Printing'!E6</f>
        <v>9 (2/3/2/2)</v>
      </c>
      <c r="G26" s="17">
        <f>IF(OR(R26&lt;&gt;"",M77&lt;&gt;"",M128&lt;&gt;""),'Tables for Printing'!F6+2,'Tables for Printing'!F6)</f>
        <v>7</v>
      </c>
      <c r="H26" s="17">
        <f>IF(OR(S26&lt;&gt;"",N77&lt;&gt;"",N128&lt;&gt;""),'Tables for Printing'!G6+2,'Tables for Printing'!G6)</f>
        <v>5</v>
      </c>
      <c r="I26" s="17">
        <f>IF(OR(T26&lt;&gt;"",O77&lt;&gt;"",O128&lt;&gt;""),'Tables for Printing'!H6-2,'Tables for Printing'!H6)</f>
        <v>6</v>
      </c>
      <c r="J26" s="2"/>
      <c r="K26" s="17">
        <f t="shared" si="2"/>
        <v>0</v>
      </c>
      <c r="L26" s="17">
        <f t="shared" si="3"/>
        <v>0</v>
      </c>
      <c r="M26" s="17">
        <f t="shared" si="4"/>
        <v>0</v>
      </c>
      <c r="O26" s="2"/>
      <c r="P26" s="106"/>
      <c r="Q26" s="107"/>
      <c r="R26" s="108"/>
      <c r="S26" s="109"/>
      <c r="T26" s="123"/>
      <c r="U26" s="4"/>
      <c r="W26">
        <f t="shared" si="5"/>
        <v>0</v>
      </c>
      <c r="X26">
        <f>IF(OR('Wargame Calculator'!R26&lt;&gt;"",'Wargame Calculator'!S26&lt;&gt;"",T26&lt;&gt;""),1,0)</f>
        <v>0</v>
      </c>
      <c r="Y26">
        <f t="shared" si="1"/>
        <v>0</v>
      </c>
    </row>
    <row r="27" spans="2:32" ht="15" customHeight="1" x14ac:dyDescent="0.3">
      <c r="B27" s="1"/>
      <c r="C27" s="301"/>
      <c r="D27" s="2" t="str">
        <f>'Tables for Printing'!C7</f>
        <v>Aviation</v>
      </c>
      <c r="E27" s="17">
        <f>'Tables for Printing'!D7</f>
        <v>15</v>
      </c>
      <c r="F27" s="29" t="str">
        <f>'Tables for Printing'!E7</f>
        <v>11 (3/2/3/3)</v>
      </c>
      <c r="G27" s="17">
        <f>IF(OR(R27&lt;&gt;"",M78&lt;&gt;"",M129&lt;&gt;""),'Tables for Printing'!F7+2,'Tables for Printing'!F7)</f>
        <v>6</v>
      </c>
      <c r="H27" s="17">
        <f>IF(OR(S27&lt;&gt;"",N78&lt;&gt;"",N129&lt;&gt;""),'Tables for Printing'!G7+2,'Tables for Printing'!G7)</f>
        <v>4</v>
      </c>
      <c r="I27" s="17">
        <f>IF(OR(T27&lt;&gt;"",O78&lt;&gt;"",O129&lt;&gt;""),'Tables for Printing'!H7-2,'Tables for Printing'!H7)</f>
        <v>8</v>
      </c>
      <c r="J27" s="2"/>
      <c r="K27" s="17">
        <f t="shared" si="2"/>
        <v>0</v>
      </c>
      <c r="L27" s="17">
        <f t="shared" si="3"/>
        <v>0</v>
      </c>
      <c r="M27" s="17">
        <f t="shared" si="4"/>
        <v>0</v>
      </c>
      <c r="O27" s="2"/>
      <c r="P27" s="106"/>
      <c r="Q27" s="107"/>
      <c r="R27" s="108"/>
      <c r="S27" s="109"/>
      <c r="T27" s="123"/>
      <c r="U27" s="4"/>
      <c r="W27">
        <f t="shared" si="5"/>
        <v>0</v>
      </c>
      <c r="X27">
        <f>IF(OR('Wargame Calculator'!R27&lt;&gt;"",'Wargame Calculator'!S27&lt;&gt;"",T27&lt;&gt;""),1,0)</f>
        <v>0</v>
      </c>
      <c r="Y27">
        <f t="shared" si="1"/>
        <v>0</v>
      </c>
    </row>
    <row r="28" spans="2:32" ht="15" customHeight="1" x14ac:dyDescent="0.3">
      <c r="B28" s="1"/>
      <c r="C28" s="301"/>
      <c r="D28" s="2" t="str">
        <f>'Tables for Printing'!C8</f>
        <v>Artillery</v>
      </c>
      <c r="E28" s="17">
        <f>'Tables for Printing'!D8</f>
        <v>10</v>
      </c>
      <c r="F28" s="29" t="str">
        <f>'Tables for Printing'!E8</f>
        <v>7 (1/2/2/2)</v>
      </c>
      <c r="G28" s="17">
        <f>IF(OR(R28&lt;&gt;"",M79&lt;&gt;"",M130&lt;&gt;""),'Tables for Printing'!F8+2,'Tables for Printing'!F8)</f>
        <v>5</v>
      </c>
      <c r="H28" s="17">
        <f>IF(OR(S28&lt;&gt;"",N79&lt;&gt;"",N130&lt;&gt;""),'Tables for Printing'!G8+2,'Tables for Printing'!G8)</f>
        <v>2</v>
      </c>
      <c r="I28" s="17">
        <f>IF(OR(T28&lt;&gt;"",O79&lt;&gt;"",O130&lt;&gt;""),'Tables for Printing'!H8-2,'Tables for Printing'!H8)</f>
        <v>5</v>
      </c>
      <c r="J28" s="2"/>
      <c r="K28" s="17">
        <f t="shared" si="2"/>
        <v>0</v>
      </c>
      <c r="L28" s="17">
        <f t="shared" si="3"/>
        <v>0</v>
      </c>
      <c r="M28" s="17">
        <f t="shared" si="4"/>
        <v>0</v>
      </c>
      <c r="O28" s="2"/>
      <c r="P28" s="106"/>
      <c r="Q28" s="107"/>
      <c r="R28" s="108"/>
      <c r="S28" s="109"/>
      <c r="T28" s="123"/>
      <c r="U28" s="4"/>
      <c r="W28">
        <f t="shared" si="5"/>
        <v>0</v>
      </c>
      <c r="X28">
        <f>IF(OR('Wargame Calculator'!R28&lt;&gt;"",'Wargame Calculator'!S28&lt;&gt;"",T28&lt;&gt;""),1,0)</f>
        <v>0</v>
      </c>
      <c r="Y28">
        <f t="shared" si="1"/>
        <v>0</v>
      </c>
    </row>
    <row r="29" spans="2:32" ht="15" customHeight="1" x14ac:dyDescent="0.3">
      <c r="B29" s="1"/>
      <c r="C29" s="301"/>
      <c r="D29" s="2" t="str">
        <f>'Tables for Printing'!C9</f>
        <v>Special Operations</v>
      </c>
      <c r="E29" s="17">
        <v>17</v>
      </c>
      <c r="F29" s="29" t="str">
        <f>'Tables for Printing'!E9</f>
        <v>6 (1/1/2/2)</v>
      </c>
      <c r="G29" s="17">
        <f>IF(OR(R29&lt;&gt;"",M80&lt;&gt;"",M131&lt;&gt;""),'Tables for Printing'!F9+2,'Tables for Printing'!F9)</f>
        <v>10</v>
      </c>
      <c r="H29" s="17">
        <f>IF(OR(S29&lt;&gt;"",N80&lt;&gt;"",N131&lt;&gt;""),'Tables for Printing'!G9+2,'Tables for Printing'!G9)</f>
        <v>3</v>
      </c>
      <c r="I29" s="17">
        <f>IF(OR(T29&lt;&gt;"",O80&lt;&gt;"",O131&lt;&gt;""),'Tables for Printing'!H9-2,'Tables for Printing'!H9)</f>
        <v>3</v>
      </c>
      <c r="J29" s="2"/>
      <c r="K29" s="17">
        <f t="shared" si="2"/>
        <v>0</v>
      </c>
      <c r="L29" s="17">
        <f t="shared" si="3"/>
        <v>0</v>
      </c>
      <c r="M29" s="17">
        <f t="shared" si="4"/>
        <v>0</v>
      </c>
      <c r="O29" s="2"/>
      <c r="P29" s="106"/>
      <c r="Q29" s="107"/>
      <c r="R29" s="108"/>
      <c r="S29" s="109"/>
      <c r="T29" s="123"/>
      <c r="U29" s="4"/>
      <c r="W29">
        <f t="shared" si="5"/>
        <v>0</v>
      </c>
      <c r="X29">
        <f>IF(OR('Wargame Calculator'!R29&lt;&gt;"",'Wargame Calculator'!S29&lt;&gt;"",T29&lt;&gt;""),1,0)</f>
        <v>0</v>
      </c>
      <c r="Y29">
        <f t="shared" si="1"/>
        <v>0</v>
      </c>
    </row>
    <row r="30" spans="2:32" ht="15" customHeight="1" x14ac:dyDescent="0.3">
      <c r="B30" s="1"/>
      <c r="C30" s="301"/>
      <c r="D30" s="2" t="str">
        <f>'Tables for Printing'!C10</f>
        <v>Air Defense</v>
      </c>
      <c r="E30" s="17">
        <f>'Tables for Printing'!D10</f>
        <v>9</v>
      </c>
      <c r="F30" s="29" t="str">
        <f>'Tables for Printing'!E10</f>
        <v>8 (2/1/2/3)</v>
      </c>
      <c r="G30" s="17">
        <f>IF(OR(R30&lt;&gt;"",M81&lt;&gt;"",M132&lt;&gt;""),'Tables for Printing'!F10+2,'Tables for Printing'!F10)</f>
        <v>1</v>
      </c>
      <c r="H30" s="17">
        <f>IF(OR(S30&lt;&gt;"",N81&lt;&gt;"",N132&lt;&gt;""),'Tables for Printing'!G10+2,'Tables for Printing'!G10)</f>
        <v>8</v>
      </c>
      <c r="I30" s="17">
        <f>IF(OR(T30&lt;&gt;"",O81&lt;&gt;"",O132&lt;&gt;""),'Tables for Printing'!H10-2,'Tables for Printing'!H10)</f>
        <v>4</v>
      </c>
      <c r="J30" s="2"/>
      <c r="K30" s="17">
        <f t="shared" si="2"/>
        <v>0</v>
      </c>
      <c r="L30" s="17">
        <f t="shared" si="3"/>
        <v>0</v>
      </c>
      <c r="M30" s="17">
        <f t="shared" si="4"/>
        <v>0</v>
      </c>
      <c r="O30" s="2"/>
      <c r="P30" s="106"/>
      <c r="Q30" s="107"/>
      <c r="R30" s="108"/>
      <c r="S30" s="109"/>
      <c r="T30" s="123"/>
      <c r="U30" s="4"/>
      <c r="W30">
        <f t="shared" si="5"/>
        <v>0</v>
      </c>
      <c r="X30">
        <f>IF(OR('Wargame Calculator'!R30&lt;&gt;"",'Wargame Calculator'!S30&lt;&gt;"",T30&lt;&gt;""),1,0)</f>
        <v>0</v>
      </c>
      <c r="Y30">
        <f t="shared" si="1"/>
        <v>0</v>
      </c>
    </row>
    <row r="31" spans="2:32" ht="15" customHeight="1" x14ac:dyDescent="0.3">
      <c r="B31" s="1"/>
      <c r="C31" s="301"/>
      <c r="D31" s="2" t="str">
        <f>'Tables for Printing'!C11</f>
        <v>Enablers</v>
      </c>
      <c r="E31" s="17">
        <f>'Tables for Printing'!D11</f>
        <v>8</v>
      </c>
      <c r="F31" s="29" t="str">
        <f>'Tables for Printing'!E11</f>
        <v>5 (1/1/1/2)</v>
      </c>
      <c r="G31" s="17">
        <f>IF(OR(R31&lt;&gt;"",M82&lt;&gt;"",M133&lt;&gt;""),'Tables for Printing'!F11+2,'Tables for Printing'!F11)</f>
        <v>0</v>
      </c>
      <c r="H31" s="17">
        <f>IF(OR(S31&lt;&gt;"",N82&lt;&gt;"",N133&lt;&gt;""),'Tables for Printing'!G11+2,'Tables for Printing'!G11)</f>
        <v>0</v>
      </c>
      <c r="I31" s="17">
        <f>IF(OR(T31&lt;&gt;"",O82&lt;&gt;"",O133&lt;&gt;""),'Tables for Printing'!H11-2,'Tables for Printing'!H11)</f>
        <v>0</v>
      </c>
      <c r="J31" s="2"/>
      <c r="K31" s="17">
        <f t="shared" si="2"/>
        <v>0</v>
      </c>
      <c r="L31" s="17">
        <f t="shared" si="3"/>
        <v>0</v>
      </c>
      <c r="M31" s="17">
        <f t="shared" si="4"/>
        <v>0</v>
      </c>
      <c r="O31" s="2"/>
      <c r="P31" s="106"/>
      <c r="Q31" s="107"/>
      <c r="R31" s="83"/>
      <c r="S31" s="24"/>
      <c r="T31" s="124"/>
      <c r="U31" s="4"/>
      <c r="V31" t="s">
        <v>249</v>
      </c>
      <c r="W31">
        <f>SUM(W24:W30)</f>
        <v>0</v>
      </c>
      <c r="X31">
        <f>SUM(X24:X30)</f>
        <v>0</v>
      </c>
      <c r="Y31">
        <f>SUM(Y24:Y30)</f>
        <v>0</v>
      </c>
    </row>
    <row r="32" spans="2:32" ht="15" customHeight="1" x14ac:dyDescent="0.3">
      <c r="B32" s="1"/>
      <c r="C32" s="301"/>
      <c r="D32" s="2"/>
      <c r="E32" t="s">
        <v>474</v>
      </c>
      <c r="F32" s="2"/>
      <c r="G32" s="2"/>
      <c r="H32" s="2"/>
      <c r="I32" s="2"/>
      <c r="J32" s="159" t="s">
        <v>201</v>
      </c>
      <c r="K32" s="158">
        <f>SUM(K24:K31)+I38</f>
        <v>0</v>
      </c>
      <c r="L32" s="158">
        <f>SUM(L24:L31)+I39</f>
        <v>0</v>
      </c>
      <c r="M32" s="158">
        <f t="shared" ref="M32" si="6">SUM(M24:M31)</f>
        <v>0</v>
      </c>
      <c r="N32" s="158">
        <f>SUM(P31:Q31)*Lists_Parameters!$F$9</f>
        <v>0</v>
      </c>
      <c r="O32" s="2"/>
      <c r="P32" s="2"/>
      <c r="Q32" s="2"/>
      <c r="R32" s="2"/>
      <c r="S32" s="2"/>
      <c r="T32" s="2"/>
      <c r="U32" s="4"/>
    </row>
    <row r="33" spans="2:21" ht="15" customHeight="1" x14ac:dyDescent="0.3">
      <c r="B33" s="1"/>
      <c r="C33" s="301"/>
      <c r="D33" s="2"/>
      <c r="E33" s="2" t="s">
        <v>116</v>
      </c>
      <c r="F33" s="2"/>
      <c r="G33" s="2"/>
      <c r="H33" s="2"/>
      <c r="I33" s="2"/>
      <c r="J33" s="2"/>
      <c r="K33" s="2" t="s">
        <v>475</v>
      </c>
      <c r="L33" s="2"/>
      <c r="M33" s="2"/>
      <c r="N33" s="2"/>
      <c r="O33" s="2"/>
      <c r="P33" s="2"/>
      <c r="R33" s="2" t="s">
        <v>121</v>
      </c>
      <c r="T33" s="109" t="s">
        <v>95</v>
      </c>
      <c r="U33" s="4"/>
    </row>
    <row r="34" spans="2:21" ht="15" customHeight="1" x14ac:dyDescent="0.3">
      <c r="B34" s="1"/>
      <c r="C34" s="301"/>
      <c r="D34" s="2"/>
      <c r="E34" s="2" t="s">
        <v>153</v>
      </c>
      <c r="F34" s="2"/>
      <c r="G34" s="2"/>
      <c r="H34" s="2"/>
      <c r="I34" s="2"/>
      <c r="J34" s="2"/>
      <c r="K34" s="2" t="s">
        <v>202</v>
      </c>
      <c r="L34" s="2"/>
      <c r="M34" s="2"/>
      <c r="N34" s="2"/>
      <c r="O34" s="2"/>
      <c r="P34" s="2"/>
      <c r="T34" s="2"/>
      <c r="U34" s="4"/>
    </row>
    <row r="35" spans="2:21" ht="15" customHeight="1" x14ac:dyDescent="0.3">
      <c r="B35" s="1"/>
      <c r="C35" s="301"/>
      <c r="D35" s="2"/>
      <c r="E35" s="2"/>
      <c r="F35" s="2"/>
      <c r="G35" s="2"/>
      <c r="H35" s="2"/>
      <c r="I35" s="2"/>
      <c r="J35" s="2"/>
      <c r="K35" s="2"/>
      <c r="L35" s="2"/>
      <c r="M35" s="2"/>
      <c r="N35" s="2"/>
      <c r="O35" s="2"/>
      <c r="P35" s="2"/>
      <c r="Q35" s="2"/>
      <c r="R35" s="2"/>
      <c r="S35" s="2"/>
      <c r="T35" s="2"/>
      <c r="U35" s="4"/>
    </row>
    <row r="36" spans="2:21" ht="15" customHeight="1" x14ac:dyDescent="0.3">
      <c r="B36" s="1"/>
      <c r="C36" s="301"/>
      <c r="D36" s="307" t="s">
        <v>473</v>
      </c>
      <c r="E36" s="307"/>
      <c r="F36" s="307"/>
      <c r="G36" s="307"/>
      <c r="H36" s="307"/>
      <c r="I36" s="307"/>
      <c r="K36" s="308" t="s">
        <v>206</v>
      </c>
      <c r="L36" s="308"/>
      <c r="M36" s="308"/>
      <c r="N36" s="308"/>
      <c r="P36" s="308" t="s">
        <v>120</v>
      </c>
      <c r="Q36" s="308"/>
      <c r="R36" s="308"/>
      <c r="S36" s="308"/>
      <c r="U36" s="4"/>
    </row>
    <row r="37" spans="2:21" ht="15" customHeight="1" x14ac:dyDescent="0.3">
      <c r="B37" s="1"/>
      <c r="C37" s="301"/>
      <c r="D37" s="2"/>
      <c r="E37" s="119" t="s">
        <v>55</v>
      </c>
      <c r="F37" s="118" t="s">
        <v>57</v>
      </c>
      <c r="G37" s="118" t="s">
        <v>58</v>
      </c>
      <c r="H37" s="324" t="s">
        <v>65</v>
      </c>
      <c r="I37" s="324"/>
      <c r="J37" s="2"/>
      <c r="K37" s="2" t="s">
        <v>236</v>
      </c>
      <c r="L37" s="2"/>
      <c r="M37" s="17">
        <f>COUNTIF(R24:T30,"Round 1")</f>
        <v>0</v>
      </c>
      <c r="N37" s="32"/>
      <c r="O37" s="2"/>
      <c r="P37" s="26"/>
      <c r="Q37" s="119" t="s">
        <v>55</v>
      </c>
      <c r="R37" s="118" t="s">
        <v>57</v>
      </c>
      <c r="S37" s="118" t="s">
        <v>58</v>
      </c>
      <c r="U37" s="4"/>
    </row>
    <row r="38" spans="2:21" ht="15" customHeight="1" x14ac:dyDescent="0.3">
      <c r="B38" s="1"/>
      <c r="C38" s="301"/>
      <c r="D38" s="2" t="s">
        <v>0</v>
      </c>
      <c r="E38" s="171">
        <f>F38+G38+I38</f>
        <v>0</v>
      </c>
      <c r="F38" s="171">
        <f>IFERROR((SUMPRODUCT(P24:P31,$G$24:$G$31)*F47*F56*F58),SUMPRODUCT(P24:P31,$G$24:$G$31))</f>
        <v>0</v>
      </c>
      <c r="G38" s="172">
        <f>IFERROR((SUMPRODUCT(Q24:Q31,$G$24:$G$31)*F47*F54*F56*F58),SUMPRODUCT(Q24:Q31,$G$24:$G$31))</f>
        <v>0</v>
      </c>
      <c r="H38" s="2" t="s">
        <v>60</v>
      </c>
      <c r="I38" s="17">
        <f>IF(SUM(P24:Q26)=0,0,IF(SUM(P24:Q26)&gt;SUM(P28:Q28),SUM(P28:Q28),IF(SUM(P24:Q26)&lt;=SUM(P28:Q28),SUM(P24:Q26))))</f>
        <v>0</v>
      </c>
      <c r="J38" s="2"/>
      <c r="K38" s="2" t="s">
        <v>243</v>
      </c>
      <c r="L38" s="2"/>
      <c r="M38" s="17">
        <f>Y31</f>
        <v>0</v>
      </c>
      <c r="N38" s="32"/>
      <c r="O38" s="2"/>
      <c r="P38" s="2" t="s">
        <v>115</v>
      </c>
      <c r="Q38" s="278">
        <f>R38+S38</f>
        <v>0</v>
      </c>
      <c r="R38" s="278">
        <f>SUMPRODUCT($P$24:$P$31,E24:E31)</f>
        <v>0</v>
      </c>
      <c r="S38" s="278">
        <f>SUMPRODUCT($Q$24:$Q$31,E24:E31)</f>
        <v>0</v>
      </c>
      <c r="U38" s="4"/>
    </row>
    <row r="39" spans="2:21" ht="15" customHeight="1" x14ac:dyDescent="0.3">
      <c r="B39" s="1"/>
      <c r="C39" s="301"/>
      <c r="D39" s="2" t="s">
        <v>56</v>
      </c>
      <c r="E39" s="171">
        <f>F39+G39+I39</f>
        <v>0</v>
      </c>
      <c r="F39" s="171">
        <f>IFERROR((SUMPRODUCT(P24:P31,$H$24:$H$31)*F47*F56*F58),SUMPRODUCT(P24:P31,$H$24:$H$31))</f>
        <v>0</v>
      </c>
      <c r="G39" s="172">
        <f>IFERROR((SUMPRODUCT(Q24:Q31,$H$24:$H$31)*F47*F54*F56*F58),SUMPRODUCT(Q24:Q31,$H$24:$H$31))</f>
        <v>0</v>
      </c>
      <c r="H39" s="2" t="s">
        <v>59</v>
      </c>
      <c r="I39" s="17">
        <f>IF(SUM(P24:Q26)=0,0,IF(SUM(P24:Q26)&gt;SUM(P27:Q27),SUM(P27:Q27),IF(SUM(P24:Q26)&lt;=SUM(P27:Q27),SUM(P24:Q26))))</f>
        <v>0</v>
      </c>
      <c r="J39" s="2"/>
      <c r="K39" s="2" t="s">
        <v>72</v>
      </c>
      <c r="L39" s="2"/>
      <c r="M39" s="17" t="e">
        <f>INDEX(Lists_Parameters!$D$54:$G$74,MATCH(M37,Lists_Parameters!$B$54:$B$74,0),MATCH('Wargame Calculator'!F46,Lists_Parameters!$D$53:$G$53,0))</f>
        <v>#N/A</v>
      </c>
      <c r="N39" s="32"/>
      <c r="O39" s="2"/>
      <c r="P39" s="2" t="s">
        <v>470</v>
      </c>
      <c r="Q39" s="278">
        <f>R39+S39</f>
        <v>0</v>
      </c>
      <c r="R39" s="278">
        <f>SUMPRODUCT($P$24:$P$31,Lists_Parameters!$M$51:$M$58)*'Wargame Calculator'!$N$16+SUMPRODUCT($P$24:$P$31,Lists_Parameters!$N$51:$N$58)*'Wargame Calculator'!$N$17+SUMPRODUCT($P$24:$P$31,Lists_Parameters!$O$51:$O$58)*'Wargame Calculator'!$N$18+SUMPRODUCT($P$24:$P$31,Lists_Parameters!$P$51:$P$58)*'Wargame Calculator'!$N$19</f>
        <v>0</v>
      </c>
      <c r="S39" s="278">
        <f>(SUMPRODUCT($Q$24:$Q$31,Lists_Parameters!$M$51:$M$58)*'Wargame Calculator'!$N$16+SUMPRODUCT($Q$24:$Q$31,Lists_Parameters!$N$51:$N$58)*'Wargame Calculator'!$N$17+SUMPRODUCT($Q$24:$Q$31,Lists_Parameters!$O$51:$O$58)*'Wargame Calculator'!$N$18+SUMPRODUCT($Q$24:$Q$31,Lists_Parameters!$P$51:$P$58)*'Wargame Calculator'!$N$19)*Lists_Parameters!$D$3</f>
        <v>0</v>
      </c>
      <c r="U39" s="4"/>
    </row>
    <row r="40" spans="2:21" ht="15" customHeight="1" x14ac:dyDescent="0.3">
      <c r="B40" s="1"/>
      <c r="C40" s="301"/>
      <c r="D40" s="2" t="s">
        <v>61</v>
      </c>
      <c r="E40" s="173">
        <f t="shared" ref="E40" si="7">SUM(F40:G40)</f>
        <v>0</v>
      </c>
      <c r="F40" s="174">
        <f>P31*Lists_Parameters!$F$9</f>
        <v>0</v>
      </c>
      <c r="G40" s="174">
        <f>IFERROR((Q31*Lists_Parameters!$F$9*F54),Q31*Lists_Parameters!$F$9)</f>
        <v>0</v>
      </c>
      <c r="H40" s="2"/>
      <c r="I40" s="2"/>
      <c r="J40" s="2"/>
      <c r="K40" s="2" t="s">
        <v>73</v>
      </c>
      <c r="L40" s="17" t="e">
        <f>(VLOOKUP(M37,Lists_Parameters!$B$54:$C$74,2,FALSE))*W31</f>
        <v>#N/A</v>
      </c>
      <c r="M40" s="2" t="s">
        <v>74</v>
      </c>
      <c r="N40" s="17" t="e">
        <f>IF(L41&gt;=M39,0,ROUNDUP((L40*(1+VLOOKUP((M39-L41),Lists_Parameters!$I$47:$J$55,2,FALSE))),0))</f>
        <v>#N/A</v>
      </c>
      <c r="P40" s="2"/>
      <c r="Q40" s="2"/>
      <c r="R40" s="279"/>
      <c r="S40" s="2"/>
      <c r="U40" s="4"/>
    </row>
    <row r="41" spans="2:21" ht="15" customHeight="1" x14ac:dyDescent="0.3">
      <c r="B41" s="1"/>
      <c r="C41" s="301"/>
      <c r="D41" s="2" t="s">
        <v>181</v>
      </c>
      <c r="E41" s="174">
        <f>IFERROR((SUM(F41:G41)+P49),SUM(F41:G41))</f>
        <v>0</v>
      </c>
      <c r="F41" s="173">
        <f>SUMPRODUCT($P$24:$P$31,I24:I31)</f>
        <v>0</v>
      </c>
      <c r="G41" s="174">
        <f>IFERROR((SUMPRODUCT($Q$24:$Q$31,I24:I31)*F54),SUMPRODUCT($Q$24:$Q$31,I24:I31))</f>
        <v>0</v>
      </c>
      <c r="H41" s="2"/>
      <c r="I41" s="2"/>
      <c r="J41" s="2"/>
      <c r="K41" s="2" t="s">
        <v>46</v>
      </c>
      <c r="L41" s="112">
        <v>7</v>
      </c>
      <c r="M41" s="2" t="s">
        <v>76</v>
      </c>
      <c r="N41" s="78">
        <f>IF(M37=0,0,IF(L41&gt;=M39,L40,IF(T33=Lists_Parameters!$L$13,'Wargame Calculator'!L40*0.5,'Wargame Calculator'!N40)))</f>
        <v>0</v>
      </c>
      <c r="P41" s="2" t="s">
        <v>108</v>
      </c>
      <c r="Q41" s="193">
        <f>I19+N41+SUM(Q38:Q39)</f>
        <v>0</v>
      </c>
      <c r="R41" s="2"/>
      <c r="S41" s="2"/>
      <c r="U41" s="4"/>
    </row>
    <row r="42" spans="2:21" ht="15" customHeight="1" x14ac:dyDescent="0.3">
      <c r="B42" s="1"/>
      <c r="C42" s="301"/>
      <c r="D42" s="32" t="s">
        <v>196</v>
      </c>
      <c r="E42" s="2"/>
      <c r="F42" s="25"/>
      <c r="G42" s="2"/>
      <c r="H42" s="2"/>
      <c r="I42" s="2"/>
      <c r="J42" s="2"/>
      <c r="K42" s="2"/>
      <c r="L42" s="2"/>
      <c r="M42" s="2"/>
      <c r="N42" s="2"/>
      <c r="O42" s="2"/>
      <c r="P42" s="2"/>
      <c r="Q42" s="2" t="s">
        <v>109</v>
      </c>
      <c r="R42" s="2"/>
      <c r="S42" s="2"/>
      <c r="U42" s="4"/>
    </row>
    <row r="43" spans="2:21" ht="15" customHeight="1" x14ac:dyDescent="0.3">
      <c r="B43" s="1"/>
      <c r="C43" s="301"/>
      <c r="D43" s="32"/>
      <c r="E43" s="2"/>
      <c r="F43" s="25"/>
      <c r="G43" s="2"/>
      <c r="H43" s="2"/>
      <c r="I43" s="2"/>
      <c r="J43" s="2"/>
      <c r="K43" s="2"/>
      <c r="L43" s="2"/>
      <c r="M43" s="2"/>
      <c r="N43" s="2"/>
      <c r="O43" s="2"/>
      <c r="P43" s="2"/>
      <c r="Q43" s="2"/>
      <c r="R43" s="2"/>
      <c r="S43" s="2"/>
      <c r="T43" s="2"/>
      <c r="U43" s="4"/>
    </row>
    <row r="44" spans="2:21" ht="15" customHeight="1" x14ac:dyDescent="0.3">
      <c r="B44" s="1"/>
      <c r="C44" s="301"/>
      <c r="D44" s="307" t="s">
        <v>265</v>
      </c>
      <c r="E44" s="307"/>
      <c r="F44" s="307"/>
      <c r="G44" s="307"/>
      <c r="H44" s="307"/>
      <c r="I44" s="307"/>
      <c r="J44" s="307"/>
      <c r="K44" s="307"/>
      <c r="L44" s="307"/>
      <c r="M44" s="307"/>
      <c r="N44" s="307"/>
      <c r="O44" s="307"/>
      <c r="P44" s="307"/>
      <c r="Q44" s="307"/>
      <c r="R44" s="307"/>
      <c r="S44" s="307"/>
      <c r="T44" s="307"/>
      <c r="U44" s="4"/>
    </row>
    <row r="45" spans="2:21" s="22" customFormat="1" ht="15" customHeight="1" x14ac:dyDescent="0.3">
      <c r="B45" s="130"/>
      <c r="C45" s="301"/>
      <c r="D45" s="305" t="s">
        <v>124</v>
      </c>
      <c r="E45" s="305"/>
      <c r="F45" s="305"/>
      <c r="G45" s="105"/>
      <c r="H45" s="317" t="s">
        <v>200</v>
      </c>
      <c r="I45" s="317"/>
      <c r="J45" s="105"/>
      <c r="K45" s="105"/>
      <c r="L45" s="305" t="s">
        <v>123</v>
      </c>
      <c r="M45" s="305"/>
      <c r="N45" s="305"/>
      <c r="O45" s="305"/>
      <c r="T45" s="160"/>
      <c r="U45" s="4"/>
    </row>
    <row r="46" spans="2:21" ht="15" customHeight="1" x14ac:dyDescent="0.3">
      <c r="B46" s="1"/>
      <c r="C46" s="301"/>
      <c r="D46" s="127" t="s">
        <v>189</v>
      </c>
      <c r="E46" s="105"/>
      <c r="F46" s="17">
        <f>IF(Select_Tech_Level="",1,IF(I17&gt;=I16,Select_Tech_Level,IF(Num_RD_Retries="Yes",IF(I18&gt;=I16,Select_Tech_Level,1),1)))</f>
        <v>1</v>
      </c>
      <c r="G46" s="2"/>
      <c r="H46" s="2" t="s">
        <v>68</v>
      </c>
      <c r="I46" s="172" t="e">
        <f ca="1">SUM(I47:I48)</f>
        <v>#N/A</v>
      </c>
      <c r="J46" s="2"/>
      <c r="K46" s="2"/>
      <c r="L46" s="315" t="s">
        <v>118</v>
      </c>
      <c r="M46" s="309"/>
      <c r="N46" s="310"/>
      <c r="O46" s="2" t="s">
        <v>55</v>
      </c>
      <c r="P46" s="17" t="e">
        <f>SUM(P47:P48)</f>
        <v>#N/A</v>
      </c>
      <c r="T46" s="2"/>
      <c r="U46" s="4"/>
    </row>
    <row r="47" spans="2:21" ht="15" customHeight="1" x14ac:dyDescent="0.3">
      <c r="B47" s="1"/>
      <c r="C47" s="301"/>
      <c r="D47" s="2" t="s">
        <v>190</v>
      </c>
      <c r="E47" s="2"/>
      <c r="F47" s="28" t="e">
        <f>IF(F46=P50,1,IF(F46&gt;P50,VLOOKUP(F46-P50,Lists_Parameters!$O$36:$Q$38,3,FALSE),VLOOKUP('Wargame Calculator'!P50-'Wargame Calculator'!F46,Lists_Parameters!$O$36:$Q$38,2,FALSE)))</f>
        <v>#N/A</v>
      </c>
      <c r="G47" s="2"/>
      <c r="H47" s="2" t="s">
        <v>66</v>
      </c>
      <c r="I47" s="172" t="e">
        <f ca="1">IF(F49=Lists_Parameters!$L$13,(((F54*G38)+F38+I38)*F47*F56*N20),(((F54*G38)+F38+I38)*F47*F56*N20)*Lists_Parameters!$D$5)</f>
        <v>#N/A</v>
      </c>
      <c r="J47" s="2"/>
      <c r="K47" s="2"/>
      <c r="L47" s="315"/>
      <c r="M47" s="311"/>
      <c r="N47" s="312"/>
      <c r="O47" s="2" t="s">
        <v>0</v>
      </c>
      <c r="P47" s="17" t="e">
        <f>INDEX('Crisis Scenario Data'!$B$50:$G$53,1,MATCH('Wargame Calculator'!M46,'Crisis Scenario Data'!$B$49:$G$49,0))</f>
        <v>#N/A</v>
      </c>
      <c r="T47" s="2"/>
      <c r="U47" s="4"/>
    </row>
    <row r="48" spans="2:21" ht="15" customHeight="1" x14ac:dyDescent="0.3">
      <c r="B48" s="1"/>
      <c r="C48" s="301"/>
      <c r="D48" s="2"/>
      <c r="E48" s="2"/>
      <c r="F48" s="27"/>
      <c r="G48" s="2"/>
      <c r="H48" s="2" t="s">
        <v>67</v>
      </c>
      <c r="I48" s="172" t="e">
        <f ca="1">IF(F49=Lists_Parameters!$L$13,(((F54*G39)+F39+I39)*F47*F56*N20),(((F54*G39)+F39+I39)*F47*F56*N20)*Lists_Parameters!$D$5)</f>
        <v>#N/A</v>
      </c>
      <c r="J48" s="2"/>
      <c r="K48" s="2"/>
      <c r="L48" s="315"/>
      <c r="M48" s="313"/>
      <c r="N48" s="314"/>
      <c r="O48" s="2" t="s">
        <v>1</v>
      </c>
      <c r="P48" s="17" t="e">
        <f>INDEX('Crisis Scenario Data'!$B$50:$G$53,2,MATCH('Wargame Calculator'!M46,'Crisis Scenario Data'!$B$49:$G$49,0))</f>
        <v>#N/A</v>
      </c>
      <c r="T48" s="2"/>
      <c r="U48" s="4"/>
    </row>
    <row r="49" spans="2:32" ht="15" customHeight="1" x14ac:dyDescent="0.3">
      <c r="B49" s="1"/>
      <c r="C49" s="301"/>
      <c r="D49" s="2" t="s">
        <v>107</v>
      </c>
      <c r="E49" s="2"/>
      <c r="F49" s="28" t="e">
        <f ca="1">'Meet Priority Force Reqt'!H2</f>
        <v>#N/A</v>
      </c>
      <c r="G49" s="2"/>
      <c r="H49" s="32" t="s">
        <v>476</v>
      </c>
      <c r="I49" s="2"/>
      <c r="J49" s="2"/>
      <c r="K49" s="2"/>
      <c r="L49" s="2"/>
      <c r="M49" s="2"/>
      <c r="O49" s="2" t="s">
        <v>96</v>
      </c>
      <c r="P49" s="17" t="e">
        <f>INDEX('Crisis Scenario Data'!$B$50:$G$53,3,MATCH('Wargame Calculator'!M46,'Crisis Scenario Data'!$B$49:$G$49,0))</f>
        <v>#N/A</v>
      </c>
      <c r="T49" s="2"/>
      <c r="U49" s="4"/>
    </row>
    <row r="50" spans="2:32" ht="15" customHeight="1" x14ac:dyDescent="0.3">
      <c r="B50" s="1"/>
      <c r="C50" s="301"/>
      <c r="D50" s="128" t="s">
        <v>183</v>
      </c>
      <c r="E50" s="2"/>
      <c r="F50" s="25"/>
      <c r="G50" s="2"/>
      <c r="H50" s="32" t="s">
        <v>481</v>
      </c>
      <c r="I50" s="2"/>
      <c r="J50" s="2"/>
      <c r="K50" s="2"/>
      <c r="L50" s="2"/>
      <c r="M50" s="2"/>
      <c r="O50" s="2" t="s">
        <v>2</v>
      </c>
      <c r="P50" s="17" t="e">
        <f>INDEX('Crisis Scenario Data'!$B$50:$G$53,4,MATCH('Wargame Calculator'!M46,'Crisis Scenario Data'!$B$49:$G$49,0))</f>
        <v>#N/A</v>
      </c>
      <c r="T50" s="2"/>
      <c r="U50" s="4"/>
    </row>
    <row r="51" spans="2:32" ht="15" customHeight="1" x14ac:dyDescent="0.3">
      <c r="B51" s="1"/>
      <c r="C51" s="301"/>
      <c r="D51" s="32" t="s">
        <v>185</v>
      </c>
      <c r="E51" s="2"/>
      <c r="F51" s="2"/>
      <c r="G51" s="2"/>
      <c r="H51" s="2"/>
      <c r="I51" s="2"/>
      <c r="J51" s="2"/>
      <c r="K51" s="2"/>
      <c r="L51" s="2"/>
      <c r="T51" s="2"/>
      <c r="U51" s="4"/>
    </row>
    <row r="52" spans="2:32" ht="15" customHeight="1" x14ac:dyDescent="0.3">
      <c r="B52" s="1"/>
      <c r="C52" s="301"/>
      <c r="D52" s="32"/>
      <c r="E52" s="2"/>
      <c r="F52" s="2"/>
      <c r="G52" s="2"/>
      <c r="L52" s="2"/>
      <c r="N52" s="316" t="s">
        <v>212</v>
      </c>
      <c r="O52" s="316"/>
      <c r="P52" s="316"/>
      <c r="T52" s="2"/>
      <c r="U52" s="4"/>
    </row>
    <row r="53" spans="2:32" ht="15" customHeight="1" x14ac:dyDescent="0.3">
      <c r="B53" s="1"/>
      <c r="C53" s="301"/>
      <c r="D53" s="2" t="s">
        <v>97</v>
      </c>
      <c r="E53" s="2"/>
      <c r="F53" s="111"/>
      <c r="G53" s="2"/>
      <c r="K53" s="2"/>
      <c r="L53" s="2"/>
      <c r="N53" s="2" t="s">
        <v>119</v>
      </c>
      <c r="O53" s="2"/>
      <c r="P53" s="125" t="e">
        <f ca="1">IF((I46/P46)&gt;1,1,I46/P46)</f>
        <v>#N/A</v>
      </c>
      <c r="T53" s="120"/>
      <c r="U53" s="4"/>
    </row>
    <row r="54" spans="2:32" ht="15" customHeight="1" x14ac:dyDescent="0.3">
      <c r="B54" s="1"/>
      <c r="C54" s="301"/>
      <c r="D54" s="2" t="s">
        <v>98</v>
      </c>
      <c r="E54" s="2"/>
      <c r="F54" s="175" t="e">
        <f>VLOOKUP(F53,Lists_Parameters!$L$36:$M$46,2,FALSE)</f>
        <v>#N/A</v>
      </c>
      <c r="G54" s="2"/>
      <c r="K54" s="2"/>
      <c r="L54" s="2"/>
      <c r="N54" s="2" t="s">
        <v>69</v>
      </c>
      <c r="O54" s="2"/>
      <c r="P54" s="17" t="e">
        <f ca="1">VLOOKUP(P53,Lists_Parameters!$B$19:$C$31,2,TRUE)</f>
        <v>#N/A</v>
      </c>
      <c r="T54" s="2"/>
      <c r="U54" s="4"/>
    </row>
    <row r="55" spans="2:32" ht="15" customHeight="1" x14ac:dyDescent="0.3">
      <c r="B55" s="1"/>
      <c r="C55" s="301"/>
      <c r="D55" s="2"/>
      <c r="E55" s="2"/>
      <c r="F55" s="2"/>
      <c r="G55" s="2"/>
      <c r="K55" s="2"/>
      <c r="L55" s="2"/>
      <c r="N55" s="2" t="s">
        <v>152</v>
      </c>
      <c r="O55" s="2"/>
      <c r="P55" s="111">
        <v>5</v>
      </c>
      <c r="T55" s="2"/>
      <c r="U55" s="4"/>
    </row>
    <row r="56" spans="2:32" ht="15" customHeight="1" x14ac:dyDescent="0.3">
      <c r="B56" s="1"/>
      <c r="C56" s="301"/>
      <c r="D56" s="2" t="s">
        <v>99</v>
      </c>
      <c r="E56" s="2"/>
      <c r="F56" s="175" t="e">
        <f>IF((F40+(G40*F54))/((F41+(F54*G41))+P49)&gt;1,1,(F40+(G40*F54))/(F41+(F54*G41)+P49))</f>
        <v>#N/A</v>
      </c>
      <c r="G56" s="2"/>
      <c r="H56" s="2"/>
      <c r="I56" s="2"/>
      <c r="J56" s="2"/>
      <c r="K56" s="2"/>
      <c r="L56" s="2"/>
      <c r="N56" s="2" t="s">
        <v>486</v>
      </c>
      <c r="O56" s="2"/>
      <c r="P56" s="79" t="e">
        <f ca="1">IF(P55&lt;P54,VLOOKUP((P54-P55),Lists_Parameters!$Q$61:$S$71,3,FALSE),0)</f>
        <v>#N/A</v>
      </c>
      <c r="T56" s="2"/>
      <c r="U56" s="4"/>
    </row>
    <row r="57" spans="2:32" ht="15" customHeight="1" x14ac:dyDescent="0.3">
      <c r="B57" s="1"/>
      <c r="C57" s="301"/>
      <c r="D57" s="2"/>
      <c r="E57" s="2"/>
      <c r="F57" s="2"/>
      <c r="G57" s="2"/>
      <c r="H57" s="2"/>
      <c r="I57" s="2"/>
      <c r="J57" s="2"/>
      <c r="K57" s="2"/>
      <c r="L57" s="2"/>
      <c r="N57" s="2" t="s">
        <v>102</v>
      </c>
      <c r="O57" s="2"/>
      <c r="P57" s="28" t="e">
        <f ca="1">IF(P54&gt;P55,(VLOOKUP(P53,Lists_Parameters!$B$19:$D$31,3)*'Wargame Calculator'!P46)+(P47-I48),VLOOKUP(P53,Lists_Parameters!$B$19:$D$31,3)*'Wargame Calculator'!P46)</f>
        <v>#N/A</v>
      </c>
      <c r="T57" s="2"/>
      <c r="U57" s="4"/>
    </row>
    <row r="58" spans="2:32" ht="15" customHeight="1" x14ac:dyDescent="0.3">
      <c r="B58" s="1"/>
      <c r="C58" s="301"/>
      <c r="D58" s="32" t="s">
        <v>191</v>
      </c>
      <c r="E58" s="2"/>
      <c r="F58" s="175" t="e">
        <f>N20</f>
        <v>#DIV/0!</v>
      </c>
      <c r="G58" s="2"/>
      <c r="H58" s="2"/>
      <c r="I58" s="2"/>
      <c r="J58" s="2"/>
      <c r="K58" s="2"/>
      <c r="L58" s="2"/>
      <c r="N58" s="32" t="s">
        <v>184</v>
      </c>
      <c r="T58" s="2"/>
      <c r="U58" s="4"/>
    </row>
    <row r="59" spans="2:32" ht="15" customHeight="1" x14ac:dyDescent="0.3">
      <c r="B59" s="1"/>
      <c r="C59" s="301"/>
      <c r="D59" s="2"/>
      <c r="E59" s="2"/>
      <c r="F59" s="2"/>
      <c r="G59" s="2"/>
      <c r="H59" s="2"/>
      <c r="I59" s="2"/>
      <c r="J59" s="2"/>
      <c r="K59" s="2"/>
      <c r="L59" s="2"/>
      <c r="O59" s="2"/>
      <c r="P59" s="2"/>
      <c r="T59" s="2"/>
      <c r="U59" s="4"/>
    </row>
    <row r="60" spans="2:32" ht="21" x14ac:dyDescent="0.4">
      <c r="B60" s="1"/>
      <c r="C60" s="304" t="s">
        <v>64</v>
      </c>
      <c r="D60" s="304"/>
      <c r="E60" s="304"/>
      <c r="F60" s="304"/>
      <c r="G60" s="304"/>
      <c r="H60" s="304"/>
      <c r="I60" s="304"/>
      <c r="J60" s="304"/>
      <c r="K60" s="304"/>
      <c r="L60" s="304"/>
      <c r="M60" s="304"/>
      <c r="N60" s="304"/>
      <c r="O60" s="304"/>
      <c r="P60" s="304"/>
      <c r="Q60" s="304"/>
      <c r="R60" s="304"/>
      <c r="S60" s="304"/>
      <c r="T60" s="304"/>
      <c r="U60" s="4"/>
      <c r="X60" s="20"/>
      <c r="Y60" s="20"/>
      <c r="Z60" s="20"/>
      <c r="AA60" s="20"/>
      <c r="AB60" s="20"/>
      <c r="AC60" s="20"/>
      <c r="AD60" s="20"/>
      <c r="AE60" s="20"/>
      <c r="AF60" s="20"/>
    </row>
    <row r="61" spans="2:32" ht="15" customHeight="1" x14ac:dyDescent="0.3">
      <c r="B61" s="1"/>
      <c r="C61" s="301" t="s">
        <v>271</v>
      </c>
      <c r="D61" s="2"/>
      <c r="E61" s="2"/>
      <c r="F61" s="2"/>
      <c r="G61" s="2"/>
      <c r="H61" s="2"/>
      <c r="I61" s="2"/>
      <c r="J61" s="2"/>
      <c r="K61" s="2"/>
      <c r="L61" s="2"/>
      <c r="M61" s="2"/>
      <c r="N61" s="2"/>
      <c r="O61" s="2"/>
      <c r="P61" s="2"/>
      <c r="Q61" s="2"/>
      <c r="R61" s="2"/>
      <c r="S61" s="2"/>
      <c r="T61" s="2"/>
      <c r="U61" s="4"/>
    </row>
    <row r="62" spans="2:32" ht="15" customHeight="1" x14ac:dyDescent="0.3">
      <c r="B62" s="1"/>
      <c r="C62" s="301"/>
      <c r="D62" s="306" t="s">
        <v>264</v>
      </c>
      <c r="E62" s="306"/>
      <c r="F62" s="306"/>
      <c r="G62" s="306"/>
      <c r="H62" s="306"/>
      <c r="I62" s="306"/>
      <c r="J62" s="306"/>
      <c r="K62" s="306"/>
      <c r="L62" s="306"/>
      <c r="M62" s="306"/>
      <c r="N62" s="306"/>
      <c r="O62" s="306"/>
      <c r="P62" s="306"/>
      <c r="Q62" s="306"/>
      <c r="R62" s="306"/>
      <c r="S62" s="306"/>
      <c r="T62" s="306"/>
      <c r="U62" s="4"/>
    </row>
    <row r="63" spans="2:32" ht="15" customHeight="1" x14ac:dyDescent="0.3">
      <c r="B63" s="1"/>
      <c r="C63" s="301"/>
      <c r="D63" s="2"/>
      <c r="E63" s="2"/>
      <c r="F63" s="2"/>
      <c r="G63" s="2"/>
      <c r="H63" s="2"/>
      <c r="I63" s="2"/>
      <c r="J63" s="2"/>
      <c r="K63" s="2"/>
      <c r="L63" s="2"/>
      <c r="M63" s="2"/>
      <c r="N63" s="2"/>
      <c r="O63" s="2"/>
      <c r="P63" s="2"/>
      <c r="Q63" s="2"/>
      <c r="R63" s="2"/>
      <c r="S63" s="2"/>
      <c r="T63" s="2"/>
      <c r="U63" s="4"/>
    </row>
    <row r="64" spans="2:32" ht="15" customHeight="1" x14ac:dyDescent="0.3">
      <c r="B64" s="1"/>
      <c r="C64" s="301"/>
      <c r="D64" s="300" t="s">
        <v>207</v>
      </c>
      <c r="E64" s="300"/>
      <c r="F64" s="300"/>
      <c r="G64" s="300"/>
      <c r="H64" s="300"/>
      <c r="I64" s="300"/>
      <c r="J64" s="300"/>
      <c r="K64" s="2"/>
      <c r="L64" s="300" t="s">
        <v>417</v>
      </c>
      <c r="M64" s="300"/>
      <c r="N64" s="300"/>
      <c r="O64" s="300"/>
      <c r="P64" s="300"/>
      <c r="Q64" s="300"/>
      <c r="R64" s="300"/>
      <c r="S64" s="2"/>
      <c r="T64" s="2"/>
      <c r="U64" s="4"/>
    </row>
    <row r="65" spans="2:25" s="22" customFormat="1" ht="15" customHeight="1" x14ac:dyDescent="0.3">
      <c r="B65" s="130"/>
      <c r="C65" s="301"/>
      <c r="D65" s="150"/>
      <c r="E65" s="150"/>
      <c r="F65" s="150"/>
      <c r="G65" s="150"/>
      <c r="H65" s="150"/>
      <c r="I65" s="150"/>
      <c r="J65" s="150"/>
      <c r="K65" s="32"/>
      <c r="M65" s="273"/>
      <c r="N65" s="273" t="s">
        <v>273</v>
      </c>
      <c r="O65" s="273" t="s">
        <v>278</v>
      </c>
      <c r="P65" s="273" t="s">
        <v>427</v>
      </c>
      <c r="Q65" s="273" t="s">
        <v>428</v>
      </c>
      <c r="R65" s="273" t="s">
        <v>274</v>
      </c>
      <c r="S65" s="32"/>
      <c r="T65" s="32"/>
      <c r="U65" s="155"/>
    </row>
    <row r="66" spans="2:25" ht="15" customHeight="1" x14ac:dyDescent="0.3">
      <c r="B66" s="1"/>
      <c r="C66" s="301"/>
      <c r="D66" s="2" t="s">
        <v>75</v>
      </c>
      <c r="E66" s="203"/>
      <c r="F66" s="25" t="s">
        <v>73</v>
      </c>
      <c r="G66" s="17" t="e">
        <f>IF(E68=Lists_Parameters!$L$13,INDEX(Lists_Parameters!$C$36:$E$40,MATCH('Wargame Calculator'!E67,Lists_Parameters!$B$36:$B$40,0),MATCH('Wargame Calculator'!E66,Lists_Parameters!$C$35:$E$35,0))*2,INDEX(Lists_Parameters!$C$36:$E$40,MATCH('Wargame Calculator'!E67,Lists_Parameters!$B$36:$B$40,0),MATCH('Wargame Calculator'!E66,Lists_Parameters!$C$35:$E$35,0)))</f>
        <v>#N/A</v>
      </c>
      <c r="H66" s="2" t="s">
        <v>72</v>
      </c>
      <c r="I66" s="17" t="str">
        <f>IF(E66="","",VLOOKUP(E67,Lists_Parameters!$H$13:$J$17,3,FALSE))</f>
        <v/>
      </c>
      <c r="J66" s="2"/>
      <c r="K66" s="2"/>
      <c r="L66" s="22" t="s">
        <v>423</v>
      </c>
      <c r="M66" s="22"/>
      <c r="N66" s="299"/>
      <c r="O66" s="29">
        <f>SUMPRODUCT($H$75:$H$82,Lists_Parameters!$M$51:$M$58)+(SUMPRODUCT($L$75:$L$82,Lists_Parameters!$M$51:$M$58)*Lists_Parameters!$D$3)</f>
        <v>0</v>
      </c>
      <c r="P66" s="29">
        <f>VLOOKUP(N66,Lists_Parameters!$L$62:$M$72,2,TRUE)</f>
        <v>12</v>
      </c>
      <c r="Q66" s="280"/>
      <c r="R66" s="29" t="e">
        <f>IF(Q66&lt;P66,VLOOKUP((P66-Q66),Lists_Parameters!$Q$61:$S$71,2,FALSE),0)</f>
        <v>#N/A</v>
      </c>
      <c r="S66" s="2"/>
      <c r="T66" s="2"/>
      <c r="U66" s="4"/>
    </row>
    <row r="67" spans="2:25" ht="15" customHeight="1" x14ac:dyDescent="0.3">
      <c r="B67" s="1"/>
      <c r="C67" s="301"/>
      <c r="D67" s="2" t="s">
        <v>77</v>
      </c>
      <c r="E67" s="203"/>
      <c r="F67" s="25" t="s">
        <v>84</v>
      </c>
      <c r="G67" s="17" t="str">
        <f>IFERROR(IF(E68=Lists_Parameters!$L$13,INDEX(Lists_Parameters!$G$36:$I$40,MATCH(((VLOOKUP(E67,Lists_Parameters!$H$13:$J$17,3,FALSE))-I67),Lists_Parameters!$F$36:$F$40,0),MATCH('Wargame Calculator'!E66,Lists_Parameters!$G$35:$I$35,0))*2,INDEX(Lists_Parameters!$G$36:$I$40,MATCH(((VLOOKUP(E67,Lists_Parameters!$H$13:$J$17,3,FALSE))-I67),Lists_Parameters!$F$36:$F$40,0),MATCH('Wargame Calculator'!E66,Lists_Parameters!$G$35:$I$35,0))),"")</f>
        <v/>
      </c>
      <c r="H67" s="2" t="s">
        <v>83</v>
      </c>
      <c r="I67" s="112"/>
      <c r="J67" s="2"/>
      <c r="K67" s="2"/>
      <c r="L67" s="22" t="s">
        <v>424</v>
      </c>
      <c r="M67" s="22"/>
      <c r="N67" s="299"/>
      <c r="O67" s="29">
        <f>SUMPRODUCT($H$75:$H$82,Lists_Parameters!$N$51:$N$58)+(SUMPRODUCT($L$75:$L$82,Lists_Parameters!$N$51:$N$58)*Lists_Parameters!$D$3)</f>
        <v>0</v>
      </c>
      <c r="P67" s="29">
        <f>VLOOKUP(N67,Lists_Parameters!$L$62:$M$72,2,TRUE)</f>
        <v>12</v>
      </c>
      <c r="Q67" s="280"/>
      <c r="R67" s="29" t="e">
        <f>IF(Q67&lt;P67,VLOOKUP((P67-Q67),Lists_Parameters!$Q$61:$S$71,2,FALSE),0)</f>
        <v>#N/A</v>
      </c>
      <c r="S67" s="2"/>
      <c r="T67" s="2"/>
      <c r="U67" s="4"/>
    </row>
    <row r="68" spans="2:25" ht="15" customHeight="1" x14ac:dyDescent="0.3">
      <c r="B68" s="1"/>
      <c r="C68" s="301"/>
      <c r="D68" s="25" t="s">
        <v>139</v>
      </c>
      <c r="E68" s="29" t="str">
        <f>IF(E66&gt;F46+1,"Yes","No")</f>
        <v>No</v>
      </c>
      <c r="F68" s="2"/>
      <c r="G68" s="2"/>
      <c r="H68" t="s">
        <v>180</v>
      </c>
      <c r="I68" s="112"/>
      <c r="J68" s="2"/>
      <c r="K68" s="2"/>
      <c r="L68" s="2" t="s">
        <v>425</v>
      </c>
      <c r="M68" s="22"/>
      <c r="N68" s="299"/>
      <c r="O68" s="29">
        <f>SUMPRODUCT($H$75:$H$82,Lists_Parameters!$O$51:$O$58)+(SUMPRODUCT($L$75:$L$82,Lists_Parameters!$O$51:$O$58)*Lists_Parameters!$D$3)</f>
        <v>0</v>
      </c>
      <c r="P68" s="29">
        <f>VLOOKUP(N68,Lists_Parameters!$L$62:$M$72,2,TRUE)</f>
        <v>12</v>
      </c>
      <c r="Q68" s="280"/>
      <c r="R68" s="29" t="e">
        <f>IF(Q68&lt;P68,VLOOKUP((P68-Q68),Lists_Parameters!$Q$61:$S$71,2,FALSE),0)</f>
        <v>#N/A</v>
      </c>
      <c r="S68" s="2"/>
      <c r="T68" s="2"/>
      <c r="U68" s="4"/>
    </row>
    <row r="69" spans="2:25" ht="15" customHeight="1" thickBot="1" x14ac:dyDescent="0.35">
      <c r="B69" s="1"/>
      <c r="C69" s="301"/>
      <c r="D69" s="25" t="s">
        <v>178</v>
      </c>
      <c r="E69" s="204"/>
      <c r="F69" s="2"/>
      <c r="G69" s="2"/>
      <c r="H69" s="2" t="s">
        <v>76</v>
      </c>
      <c r="I69" s="78">
        <f>IFERROR(IF(I67="",0,IF(I67&gt;=VLOOKUP(E67,Lists_Parameters!$H$13:$J$17,3,FALSE),G66,IF(E69="No",G66,(G66+G67)))),0)</f>
        <v>0</v>
      </c>
      <c r="J69" s="2"/>
      <c r="K69" s="2"/>
      <c r="L69" s="22" t="s">
        <v>426</v>
      </c>
      <c r="M69" s="22"/>
      <c r="N69" s="299"/>
      <c r="O69" s="29">
        <f>SUMPRODUCT($H$75:$H$82,Lists_Parameters!$P$51:$P$58)+(SUMPRODUCT($L$75:$L$82,Lists_Parameters!$P$51:$P$58)*Lists_Parameters!$D$3)</f>
        <v>0</v>
      </c>
      <c r="P69" s="29">
        <f>VLOOKUP(N69,Lists_Parameters!$L$62:$M$72,2,TRUE)</f>
        <v>12</v>
      </c>
      <c r="Q69" s="280"/>
      <c r="R69" s="29" t="e">
        <f>IF(Q69&lt;P69,VLOOKUP((P69-Q69),Lists_Parameters!$Q$61:$S$71,2,FALSE),0)</f>
        <v>#N/A</v>
      </c>
      <c r="S69" s="2"/>
      <c r="T69" s="2"/>
      <c r="U69" s="4"/>
    </row>
    <row r="70" spans="2:25" ht="15" customHeight="1" thickBot="1" x14ac:dyDescent="0.35">
      <c r="B70" s="1"/>
      <c r="C70" s="301"/>
      <c r="D70" s="178" t="s">
        <v>210</v>
      </c>
      <c r="E70" s="2"/>
      <c r="F70" s="2"/>
      <c r="G70" s="2"/>
      <c r="J70" s="2"/>
      <c r="K70" s="2"/>
      <c r="L70" s="32" t="s">
        <v>421</v>
      </c>
      <c r="M70" s="22"/>
      <c r="N70" s="272" t="e">
        <f>SUMPRODUCT(N66:N69,O66:O69)/SUM(O66:O69)</f>
        <v>#DIV/0!</v>
      </c>
      <c r="O70" s="2"/>
      <c r="P70" s="2"/>
      <c r="Q70" s="273" t="s">
        <v>468</v>
      </c>
      <c r="R70" s="277" t="e">
        <f>SUM(R66:R69)</f>
        <v>#N/A</v>
      </c>
      <c r="S70" s="2"/>
      <c r="T70" s="2"/>
      <c r="U70" s="4"/>
    </row>
    <row r="71" spans="2:25" ht="15" customHeight="1" x14ac:dyDescent="0.4">
      <c r="B71" s="1"/>
      <c r="C71" s="301"/>
      <c r="F71" s="2"/>
      <c r="G71" s="2"/>
      <c r="H71" s="2"/>
      <c r="I71" s="2"/>
      <c r="J71" s="2"/>
      <c r="K71" s="2"/>
      <c r="L71" s="32" t="s">
        <v>422</v>
      </c>
      <c r="M71" s="22"/>
      <c r="N71" s="154"/>
      <c r="O71" s="154"/>
      <c r="P71" s="154"/>
      <c r="Q71" s="273" t="s">
        <v>469</v>
      </c>
      <c r="R71" s="154"/>
      <c r="S71" s="2"/>
      <c r="T71" s="2"/>
      <c r="U71" s="4"/>
    </row>
    <row r="72" spans="2:25" ht="15" customHeight="1" x14ac:dyDescent="0.3">
      <c r="B72" s="1"/>
      <c r="C72" s="301"/>
      <c r="D72" s="2"/>
      <c r="E72" s="317" t="s">
        <v>208</v>
      </c>
      <c r="F72" s="317"/>
      <c r="G72" s="317"/>
      <c r="H72" s="317"/>
      <c r="I72" s="317"/>
      <c r="J72" s="317"/>
      <c r="K72" s="317"/>
      <c r="L72" s="317"/>
      <c r="M72" s="317"/>
      <c r="N72" s="317"/>
      <c r="O72" s="317"/>
      <c r="P72" s="317"/>
      <c r="Q72" s="317"/>
      <c r="R72" s="317"/>
      <c r="S72" s="317"/>
      <c r="T72" s="317"/>
      <c r="U72" s="4"/>
    </row>
    <row r="73" spans="2:25" ht="15" customHeight="1" x14ac:dyDescent="0.3">
      <c r="B73" s="1"/>
      <c r="C73" s="301"/>
      <c r="D73" s="2"/>
      <c r="E73" s="319" t="s">
        <v>57</v>
      </c>
      <c r="F73" s="319"/>
      <c r="G73" s="319"/>
      <c r="H73" s="320"/>
      <c r="I73" s="325" t="s">
        <v>58</v>
      </c>
      <c r="J73" s="319"/>
      <c r="K73" s="319"/>
      <c r="L73" s="320"/>
      <c r="M73" s="319" t="s">
        <v>145</v>
      </c>
      <c r="N73" s="319"/>
      <c r="O73" s="319"/>
      <c r="P73" s="2"/>
      <c r="Q73" s="307" t="s">
        <v>205</v>
      </c>
      <c r="R73" s="307"/>
      <c r="S73" s="307"/>
      <c r="T73" s="307"/>
      <c r="U73" s="4"/>
    </row>
    <row r="74" spans="2:25" ht="15" customHeight="1" x14ac:dyDescent="0.3">
      <c r="B74" s="1"/>
      <c r="C74" s="301"/>
      <c r="D74" s="2"/>
      <c r="E74" s="118" t="s">
        <v>142</v>
      </c>
      <c r="F74" s="118" t="s">
        <v>62</v>
      </c>
      <c r="G74" s="118" t="s">
        <v>101</v>
      </c>
      <c r="H74" s="118" t="s">
        <v>122</v>
      </c>
      <c r="I74" s="82" t="s">
        <v>142</v>
      </c>
      <c r="J74" s="118" t="s">
        <v>62</v>
      </c>
      <c r="K74" s="118" t="s">
        <v>101</v>
      </c>
      <c r="L74" s="118" t="s">
        <v>122</v>
      </c>
      <c r="M74" s="84" t="s">
        <v>186</v>
      </c>
      <c r="N74" s="104" t="s">
        <v>187</v>
      </c>
      <c r="O74" s="104" t="s">
        <v>188</v>
      </c>
      <c r="P74" s="103"/>
      <c r="Q74" s="103" t="s">
        <v>197</v>
      </c>
      <c r="R74" s="103" t="s">
        <v>1</v>
      </c>
      <c r="S74" s="103" t="s">
        <v>198</v>
      </c>
      <c r="T74" s="103" t="s">
        <v>204</v>
      </c>
      <c r="U74" s="4"/>
      <c r="V74" s="180"/>
      <c r="W74" s="180" t="s">
        <v>248</v>
      </c>
      <c r="X74" s="31" t="s">
        <v>85</v>
      </c>
      <c r="Y74" s="31" t="s">
        <v>86</v>
      </c>
    </row>
    <row r="75" spans="2:25" ht="15" customHeight="1" x14ac:dyDescent="0.3">
      <c r="B75" s="1"/>
      <c r="C75" s="301"/>
      <c r="D75" s="2" t="str">
        <f t="shared" ref="D75:D82" si="8">D24</f>
        <v>Infantry</v>
      </c>
      <c r="E75" s="106"/>
      <c r="F75" s="106"/>
      <c r="G75" s="106"/>
      <c r="H75" s="81">
        <f t="shared" ref="H75:H82" si="9">P24+E75-F75-G75</f>
        <v>0</v>
      </c>
      <c r="I75" s="110"/>
      <c r="J75" s="106"/>
      <c r="K75" s="106"/>
      <c r="L75" s="224">
        <f t="shared" ref="L75:L82" si="10">Q24+I75-J75-K75</f>
        <v>0</v>
      </c>
      <c r="M75" s="223" t="str">
        <f t="shared" ref="M75" si="11">IF(R24="","",R24)</f>
        <v/>
      </c>
      <c r="N75" s="109" t="str">
        <f t="shared" ref="N75" si="12">IF(S24="","",S24)</f>
        <v/>
      </c>
      <c r="O75" s="109" t="str">
        <f t="shared" ref="O75" si="13">IF(T24="","",T24)</f>
        <v/>
      </c>
      <c r="P75" s="2"/>
      <c r="Q75" s="17">
        <f t="shared" ref="Q75:S82" si="14">G24*($H75+$L75)</f>
        <v>0</v>
      </c>
      <c r="R75" s="17">
        <f t="shared" si="14"/>
        <v>0</v>
      </c>
      <c r="S75" s="17">
        <f t="shared" si="14"/>
        <v>0</v>
      </c>
      <c r="U75" s="4"/>
      <c r="W75">
        <f>COUNTIFS(M75:O75,"Round 2")*SUM(H75,L75)</f>
        <v>0</v>
      </c>
      <c r="X75">
        <f>IF(OR('Wargame Calculator'!M75=Lists_Parameters!$F$15,'Wargame Calculator'!N75=Lists_Parameters!$F$15,O75=Lists_Parameters!$F$15),1,0)</f>
        <v>0</v>
      </c>
      <c r="Y75">
        <f t="shared" ref="Y75:Y81" si="15">X75*SUM(H75,L75)</f>
        <v>0</v>
      </c>
    </row>
    <row r="76" spans="2:25" ht="15" customHeight="1" x14ac:dyDescent="0.3">
      <c r="B76" s="1"/>
      <c r="C76" s="301"/>
      <c r="D76" s="2" t="str">
        <f t="shared" si="8"/>
        <v>Armor</v>
      </c>
      <c r="E76" s="106"/>
      <c r="F76" s="106"/>
      <c r="G76" s="106"/>
      <c r="H76" s="81">
        <f t="shared" si="9"/>
        <v>0</v>
      </c>
      <c r="I76" s="110"/>
      <c r="J76" s="106"/>
      <c r="K76" s="106"/>
      <c r="L76" s="224">
        <f t="shared" si="10"/>
        <v>0</v>
      </c>
      <c r="M76" s="223" t="str">
        <f t="shared" ref="M76:M81" si="16">IF(R25="","",R25)</f>
        <v/>
      </c>
      <c r="N76" s="109" t="str">
        <f t="shared" ref="N76:N81" si="17">IF(S25="","",S25)</f>
        <v/>
      </c>
      <c r="O76" s="109" t="str">
        <f t="shared" ref="O76:O81" si="18">IF(T25="","",T25)</f>
        <v/>
      </c>
      <c r="P76" s="2"/>
      <c r="Q76" s="17">
        <f t="shared" si="14"/>
        <v>0</v>
      </c>
      <c r="R76" s="17">
        <f t="shared" si="14"/>
        <v>0</v>
      </c>
      <c r="S76" s="17">
        <f t="shared" si="14"/>
        <v>0</v>
      </c>
      <c r="U76" s="4"/>
      <c r="W76">
        <f t="shared" ref="W76:W81" si="19">COUNTIFS(M76:O76,"Round 2")*SUM(H76,L76)</f>
        <v>0</v>
      </c>
      <c r="X76">
        <f>IF(OR('Wargame Calculator'!M76=Lists_Parameters!$F$15,'Wargame Calculator'!N76=Lists_Parameters!$F$15,O76=Lists_Parameters!$F$15),1,0)</f>
        <v>0</v>
      </c>
      <c r="Y76">
        <f t="shared" si="15"/>
        <v>0</v>
      </c>
    </row>
    <row r="77" spans="2:25" ht="15" customHeight="1" x14ac:dyDescent="0.3">
      <c r="B77" s="1"/>
      <c r="C77" s="301"/>
      <c r="D77" s="2" t="str">
        <f t="shared" si="8"/>
        <v>Stryker</v>
      </c>
      <c r="E77" s="106"/>
      <c r="F77" s="106"/>
      <c r="G77" s="106"/>
      <c r="H77" s="81">
        <f t="shared" si="9"/>
        <v>0</v>
      </c>
      <c r="I77" s="110"/>
      <c r="J77" s="106"/>
      <c r="K77" s="106"/>
      <c r="L77" s="224">
        <f t="shared" si="10"/>
        <v>0</v>
      </c>
      <c r="M77" s="223" t="str">
        <f t="shared" si="16"/>
        <v/>
      </c>
      <c r="N77" s="109" t="str">
        <f t="shared" si="17"/>
        <v/>
      </c>
      <c r="O77" s="109" t="str">
        <f t="shared" si="18"/>
        <v/>
      </c>
      <c r="P77" s="2"/>
      <c r="Q77" s="17">
        <f t="shared" si="14"/>
        <v>0</v>
      </c>
      <c r="R77" s="17">
        <f t="shared" si="14"/>
        <v>0</v>
      </c>
      <c r="S77" s="17">
        <f t="shared" si="14"/>
        <v>0</v>
      </c>
      <c r="U77" s="4"/>
      <c r="W77">
        <f t="shared" si="19"/>
        <v>0</v>
      </c>
      <c r="X77">
        <f>IF(OR('Wargame Calculator'!M77=Lists_Parameters!$F$15,'Wargame Calculator'!N77=Lists_Parameters!$F$15,O77=Lists_Parameters!$F$15),1,0)</f>
        <v>0</v>
      </c>
      <c r="Y77">
        <f t="shared" si="15"/>
        <v>0</v>
      </c>
    </row>
    <row r="78" spans="2:25" ht="15" customHeight="1" x14ac:dyDescent="0.3">
      <c r="B78" s="1"/>
      <c r="C78" s="301"/>
      <c r="D78" s="2" t="str">
        <f t="shared" si="8"/>
        <v>Aviation</v>
      </c>
      <c r="E78" s="106"/>
      <c r="F78" s="106"/>
      <c r="G78" s="106"/>
      <c r="H78" s="81">
        <f t="shared" si="9"/>
        <v>0</v>
      </c>
      <c r="I78" s="110"/>
      <c r="J78" s="106"/>
      <c r="K78" s="106"/>
      <c r="L78" s="224">
        <f t="shared" si="10"/>
        <v>0</v>
      </c>
      <c r="M78" s="223" t="str">
        <f t="shared" si="16"/>
        <v/>
      </c>
      <c r="N78" s="109" t="str">
        <f t="shared" si="17"/>
        <v/>
      </c>
      <c r="O78" s="109" t="str">
        <f t="shared" si="18"/>
        <v/>
      </c>
      <c r="P78" s="2"/>
      <c r="Q78" s="17">
        <f t="shared" si="14"/>
        <v>0</v>
      </c>
      <c r="R78" s="17">
        <f t="shared" si="14"/>
        <v>0</v>
      </c>
      <c r="S78" s="17">
        <f t="shared" si="14"/>
        <v>0</v>
      </c>
      <c r="U78" s="4"/>
      <c r="W78">
        <f t="shared" si="19"/>
        <v>0</v>
      </c>
      <c r="X78">
        <f>IF(OR('Wargame Calculator'!M78=Lists_Parameters!$F$15,'Wargame Calculator'!N78=Lists_Parameters!$F$15,O78=Lists_Parameters!$F$15),1,0)</f>
        <v>0</v>
      </c>
      <c r="Y78">
        <f t="shared" si="15"/>
        <v>0</v>
      </c>
    </row>
    <row r="79" spans="2:25" ht="15" customHeight="1" x14ac:dyDescent="0.3">
      <c r="B79" s="1"/>
      <c r="C79" s="301"/>
      <c r="D79" s="2" t="str">
        <f t="shared" si="8"/>
        <v>Artillery</v>
      </c>
      <c r="E79" s="106"/>
      <c r="F79" s="106"/>
      <c r="G79" s="106"/>
      <c r="H79" s="81">
        <f t="shared" si="9"/>
        <v>0</v>
      </c>
      <c r="I79" s="110"/>
      <c r="J79" s="106"/>
      <c r="K79" s="106"/>
      <c r="L79" s="224">
        <f t="shared" si="10"/>
        <v>0</v>
      </c>
      <c r="M79" s="223" t="str">
        <f t="shared" si="16"/>
        <v/>
      </c>
      <c r="N79" s="109" t="str">
        <f t="shared" si="17"/>
        <v/>
      </c>
      <c r="O79" s="109" t="str">
        <f t="shared" si="18"/>
        <v/>
      </c>
      <c r="P79" s="2"/>
      <c r="Q79" s="17">
        <f t="shared" si="14"/>
        <v>0</v>
      </c>
      <c r="R79" s="17">
        <f t="shared" si="14"/>
        <v>0</v>
      </c>
      <c r="S79" s="17">
        <f t="shared" si="14"/>
        <v>0</v>
      </c>
      <c r="U79" s="4"/>
      <c r="W79">
        <f t="shared" si="19"/>
        <v>0</v>
      </c>
      <c r="X79">
        <f>IF(OR('Wargame Calculator'!M79=Lists_Parameters!$F$15,'Wargame Calculator'!N79=Lists_Parameters!$F$15,O79=Lists_Parameters!$F$15),1,0)</f>
        <v>0</v>
      </c>
      <c r="Y79">
        <f t="shared" si="15"/>
        <v>0</v>
      </c>
    </row>
    <row r="80" spans="2:25" ht="15" customHeight="1" x14ac:dyDescent="0.3">
      <c r="B80" s="1"/>
      <c r="C80" s="301"/>
      <c r="D80" s="2" t="str">
        <f t="shared" si="8"/>
        <v>Special Operations</v>
      </c>
      <c r="E80" s="106"/>
      <c r="F80" s="106"/>
      <c r="G80" s="106"/>
      <c r="H80" s="81">
        <f t="shared" si="9"/>
        <v>0</v>
      </c>
      <c r="I80" s="110"/>
      <c r="J80" s="106"/>
      <c r="K80" s="106"/>
      <c r="L80" s="224">
        <f t="shared" si="10"/>
        <v>0</v>
      </c>
      <c r="M80" s="223" t="str">
        <f t="shared" si="16"/>
        <v/>
      </c>
      <c r="N80" s="109" t="str">
        <f t="shared" si="17"/>
        <v/>
      </c>
      <c r="O80" s="109" t="str">
        <f t="shared" si="18"/>
        <v/>
      </c>
      <c r="P80" s="2"/>
      <c r="Q80" s="17">
        <f t="shared" si="14"/>
        <v>0</v>
      </c>
      <c r="R80" s="17">
        <f t="shared" si="14"/>
        <v>0</v>
      </c>
      <c r="S80" s="17">
        <f t="shared" si="14"/>
        <v>0</v>
      </c>
      <c r="U80" s="4"/>
      <c r="W80">
        <f t="shared" si="19"/>
        <v>0</v>
      </c>
      <c r="X80">
        <f>IF(OR('Wargame Calculator'!M80=Lists_Parameters!$F$15,'Wargame Calculator'!N80=Lists_Parameters!$F$15,O80=Lists_Parameters!$F$15),1,0)</f>
        <v>0</v>
      </c>
      <c r="Y80">
        <f t="shared" si="15"/>
        <v>0</v>
      </c>
    </row>
    <row r="81" spans="2:25" ht="15" customHeight="1" x14ac:dyDescent="0.3">
      <c r="B81" s="1"/>
      <c r="C81" s="301"/>
      <c r="D81" s="2" t="str">
        <f t="shared" si="8"/>
        <v>Air Defense</v>
      </c>
      <c r="E81" s="106"/>
      <c r="F81" s="106"/>
      <c r="G81" s="106"/>
      <c r="H81" s="81">
        <f t="shared" si="9"/>
        <v>0</v>
      </c>
      <c r="I81" s="110"/>
      <c r="J81" s="106"/>
      <c r="K81" s="106"/>
      <c r="L81" s="224">
        <f t="shared" si="10"/>
        <v>0</v>
      </c>
      <c r="M81" s="223" t="str">
        <f t="shared" si="16"/>
        <v/>
      </c>
      <c r="N81" s="109" t="str">
        <f t="shared" si="17"/>
        <v/>
      </c>
      <c r="O81" s="109" t="str">
        <f t="shared" si="18"/>
        <v/>
      </c>
      <c r="P81" s="2"/>
      <c r="Q81" s="17">
        <f t="shared" si="14"/>
        <v>0</v>
      </c>
      <c r="R81" s="17">
        <f t="shared" si="14"/>
        <v>0</v>
      </c>
      <c r="S81" s="17">
        <f t="shared" si="14"/>
        <v>0</v>
      </c>
      <c r="U81" s="4"/>
      <c r="W81">
        <f t="shared" si="19"/>
        <v>0</v>
      </c>
      <c r="X81">
        <f>IF(OR('Wargame Calculator'!M81=Lists_Parameters!$F$15,'Wargame Calculator'!N81=Lists_Parameters!$F$15,O81=Lists_Parameters!$F$15),1,0)</f>
        <v>0</v>
      </c>
      <c r="Y81">
        <f t="shared" si="15"/>
        <v>0</v>
      </c>
    </row>
    <row r="82" spans="2:25" ht="15" customHeight="1" x14ac:dyDescent="0.3">
      <c r="B82" s="1"/>
      <c r="C82" s="301"/>
      <c r="D82" s="2" t="str">
        <f t="shared" si="8"/>
        <v>Enablers</v>
      </c>
      <c r="E82" s="106"/>
      <c r="F82" s="106"/>
      <c r="G82" s="106"/>
      <c r="H82" s="81">
        <f t="shared" si="9"/>
        <v>0</v>
      </c>
      <c r="I82" s="110"/>
      <c r="J82" s="106"/>
      <c r="K82" s="106"/>
      <c r="L82" s="81">
        <f t="shared" si="10"/>
        <v>0</v>
      </c>
      <c r="M82" s="83" t="str">
        <f t="shared" ref="M82:O82" si="20">IF(R31="","",R31)</f>
        <v/>
      </c>
      <c r="N82" s="24" t="str">
        <f t="shared" si="20"/>
        <v/>
      </c>
      <c r="O82" s="24" t="str">
        <f t="shared" si="20"/>
        <v/>
      </c>
      <c r="P82" s="2"/>
      <c r="Q82" s="17">
        <f t="shared" si="14"/>
        <v>0</v>
      </c>
      <c r="R82" s="17">
        <f t="shared" si="14"/>
        <v>0</v>
      </c>
      <c r="S82" s="17">
        <f t="shared" si="14"/>
        <v>0</v>
      </c>
      <c r="U82" s="4"/>
      <c r="V82" t="s">
        <v>249</v>
      </c>
      <c r="W82">
        <f>SUM(W75:W81)</f>
        <v>0</v>
      </c>
      <c r="X82">
        <f>SUM(X75:X81)</f>
        <v>0</v>
      </c>
      <c r="Y82">
        <f>SUM(Y75:Y81)</f>
        <v>0</v>
      </c>
    </row>
    <row r="83" spans="2:25" ht="15" customHeight="1" x14ac:dyDescent="0.3">
      <c r="B83" s="1"/>
      <c r="C83" s="301"/>
      <c r="D83" s="2"/>
      <c r="E83" s="23" t="s">
        <v>55</v>
      </c>
      <c r="F83" s="2" t="s">
        <v>141</v>
      </c>
      <c r="G83" s="17">
        <f>SUMPRODUCT(G75:G82,$E$24:$E$31)+SUMPRODUCT(K75:K82,$E$24:$E$31)</f>
        <v>0</v>
      </c>
      <c r="H83" s="2" t="s">
        <v>143</v>
      </c>
      <c r="I83" s="2"/>
      <c r="J83" s="2"/>
      <c r="K83" s="2"/>
      <c r="L83" s="2"/>
      <c r="M83" s="321" t="s">
        <v>144</v>
      </c>
      <c r="N83" s="321"/>
      <c r="O83" s="321"/>
      <c r="P83" s="159" t="s">
        <v>201</v>
      </c>
      <c r="Q83" s="158">
        <f>SUM(Q75:Q82)+I89</f>
        <v>0</v>
      </c>
      <c r="R83" s="158">
        <f>SUM(R75:R82)+I90</f>
        <v>0</v>
      </c>
      <c r="S83" s="158">
        <f t="shared" ref="S83" si="21">SUM(S75:S82)</f>
        <v>0</v>
      </c>
      <c r="T83" s="158">
        <f>(H82+L82)*Lists_Parameters!$F$9</f>
        <v>0</v>
      </c>
      <c r="U83" s="4"/>
    </row>
    <row r="84" spans="2:25" ht="15" customHeight="1" x14ac:dyDescent="0.3">
      <c r="B84" s="1"/>
      <c r="C84" s="301"/>
      <c r="E84" s="2"/>
      <c r="F84" s="2"/>
      <c r="G84" s="2"/>
      <c r="H84" s="2" t="s">
        <v>479</v>
      </c>
      <c r="I84" s="2"/>
      <c r="J84" s="2"/>
      <c r="K84" s="2"/>
      <c r="L84" s="2"/>
      <c r="M84" s="322"/>
      <c r="N84" s="322"/>
      <c r="O84" s="322"/>
      <c r="P84" s="2"/>
      <c r="Q84" s="2" t="s">
        <v>199</v>
      </c>
      <c r="R84" s="2"/>
      <c r="S84" s="2"/>
      <c r="T84" s="2"/>
      <c r="U84" s="4"/>
    </row>
    <row r="85" spans="2:25" ht="15" customHeight="1" x14ac:dyDescent="0.3">
      <c r="B85" s="1"/>
      <c r="C85" s="301"/>
      <c r="D85" s="2"/>
      <c r="I85" s="2"/>
      <c r="J85" s="2"/>
      <c r="K85" s="2"/>
      <c r="L85" s="2"/>
      <c r="M85" s="2" t="s">
        <v>121</v>
      </c>
      <c r="O85" s="109" t="s">
        <v>95</v>
      </c>
      <c r="P85" s="2"/>
      <c r="Q85" s="2" t="s">
        <v>202</v>
      </c>
      <c r="R85" s="2"/>
      <c r="S85" s="2"/>
      <c r="T85" s="2"/>
      <c r="U85" s="4"/>
    </row>
    <row r="86" spans="2:25" ht="15" customHeight="1" x14ac:dyDescent="0.3">
      <c r="B86" s="1"/>
      <c r="C86" s="301"/>
      <c r="D86" s="2"/>
      <c r="E86" s="2"/>
      <c r="F86" s="2"/>
      <c r="G86" s="2"/>
      <c r="H86" s="2"/>
      <c r="I86" s="2"/>
      <c r="J86" s="2"/>
      <c r="K86" s="2"/>
      <c r="L86" s="2"/>
      <c r="M86" s="2"/>
      <c r="N86" s="2"/>
      <c r="O86" s="2"/>
      <c r="P86" s="2"/>
      <c r="Q86" s="2"/>
      <c r="R86" s="2"/>
      <c r="S86" s="2"/>
      <c r="T86" s="2"/>
      <c r="U86" s="4"/>
    </row>
    <row r="87" spans="2:25" ht="15" customHeight="1" x14ac:dyDescent="0.3">
      <c r="B87" s="1"/>
      <c r="C87" s="301"/>
      <c r="D87" s="307" t="s">
        <v>477</v>
      </c>
      <c r="E87" s="307"/>
      <c r="F87" s="307"/>
      <c r="G87" s="307"/>
      <c r="H87" s="307"/>
      <c r="I87" s="307"/>
      <c r="K87" s="308" t="s">
        <v>206</v>
      </c>
      <c r="L87" s="308"/>
      <c r="M87" s="308"/>
      <c r="N87" s="308"/>
      <c r="P87" s="308" t="s">
        <v>120</v>
      </c>
      <c r="Q87" s="308"/>
      <c r="R87" s="308"/>
      <c r="S87" s="308"/>
      <c r="U87" s="4"/>
    </row>
    <row r="88" spans="2:25" ht="15" customHeight="1" x14ac:dyDescent="0.3">
      <c r="B88" s="1"/>
      <c r="C88" s="301"/>
      <c r="D88" s="2"/>
      <c r="E88" s="119" t="s">
        <v>55</v>
      </c>
      <c r="F88" s="118" t="s">
        <v>57</v>
      </c>
      <c r="G88" s="118" t="s">
        <v>58</v>
      </c>
      <c r="H88" s="324" t="s">
        <v>65</v>
      </c>
      <c r="I88" s="324"/>
      <c r="J88" s="2"/>
      <c r="K88" s="2" t="s">
        <v>236</v>
      </c>
      <c r="L88" s="2"/>
      <c r="M88" s="17">
        <f>COUNTIF(M75:O81,"Round 2")</f>
        <v>0</v>
      </c>
      <c r="N88" s="32"/>
      <c r="O88" s="2"/>
      <c r="P88" s="26"/>
      <c r="Q88" s="152" t="s">
        <v>55</v>
      </c>
      <c r="R88" s="151" t="s">
        <v>57</v>
      </c>
      <c r="S88" s="151" t="s">
        <v>58</v>
      </c>
      <c r="U88" s="4"/>
    </row>
    <row r="89" spans="2:25" ht="15" customHeight="1" x14ac:dyDescent="0.3">
      <c r="B89" s="1"/>
      <c r="C89" s="301"/>
      <c r="D89" s="2" t="s">
        <v>0</v>
      </c>
      <c r="E89" s="171">
        <f>F89+G89+I89</f>
        <v>0</v>
      </c>
      <c r="F89" s="171">
        <f>IFERROR((SUMPRODUCT(H75:H82,$G$24:$G$31)*F98*F107*F109),SUMPRODUCT(H75:H82,$G$24:$G$31))</f>
        <v>0</v>
      </c>
      <c r="G89" s="172">
        <f>IFERROR((SUMPRODUCT(L75:L82,$G$24:$G$31)*F98*F105*F107*F109),SUMPRODUCT(L75:L82,$G$24:$G$31))</f>
        <v>0</v>
      </c>
      <c r="H89" s="2" t="s">
        <v>60</v>
      </c>
      <c r="I89" s="17">
        <f>IF(SUM(L75:L77,H75:H77)=0,0,IF(SUM(L75:L77,H75:H77)&gt;SUM(H79,L79),SUM(H79,L79),IF(SUM(H75:H77,L75:L77)&lt;=SUM(H79,L79),SUM(H75:H77,L75:L77))))</f>
        <v>0</v>
      </c>
      <c r="J89" s="2"/>
      <c r="K89" s="2" t="s">
        <v>71</v>
      </c>
      <c r="L89" s="2"/>
      <c r="M89" s="17">
        <f>Y82</f>
        <v>0</v>
      </c>
      <c r="N89" s="32"/>
      <c r="O89" s="2"/>
      <c r="P89" s="2" t="s">
        <v>115</v>
      </c>
      <c r="Q89" s="172">
        <f>R89+S89</f>
        <v>0</v>
      </c>
      <c r="R89" s="171">
        <f>SUMPRODUCT($E$24:$E$31,E75:E82)</f>
        <v>0</v>
      </c>
      <c r="S89" s="172">
        <f>SUMPRODUCT($E$24:$E$31,I75:I82)</f>
        <v>0</v>
      </c>
      <c r="U89" s="4"/>
    </row>
    <row r="90" spans="2:25" ht="15" customHeight="1" x14ac:dyDescent="0.3">
      <c r="B90" s="1"/>
      <c r="C90" s="301"/>
      <c r="D90" s="2" t="s">
        <v>56</v>
      </c>
      <c r="E90" s="171">
        <f>F90+G90+I90</f>
        <v>0</v>
      </c>
      <c r="F90" s="171">
        <f>IFERROR((SUMPRODUCT(H75:H82,$H$24:$H$31)*F98*F107*F109),SUMPRODUCT(H75:H82,$H$24:$H$31))</f>
        <v>0</v>
      </c>
      <c r="G90" s="172">
        <f>IFERROR((SUMPRODUCT(L75:L82,$H$24:$H$31)*F98*F105*F107*F109),SUMPRODUCT(L75:L82,$H$24:$H$31))</f>
        <v>0</v>
      </c>
      <c r="H90" s="2" t="s">
        <v>59</v>
      </c>
      <c r="I90" s="17">
        <f>IF(SUM(L75:L77,H75:H77)=0,0,IF(SUM(L75:L77,H75:H77)&gt;SUM(H78,L78),SUM(H78,L78),IF(SUM(H75:H77,L75:L77)&lt;=SUM(H78,L78),SUM(H75:H77,L75:L77))))</f>
        <v>0</v>
      </c>
      <c r="J90" s="2"/>
      <c r="K90" s="2" t="s">
        <v>72</v>
      </c>
      <c r="L90" s="2"/>
      <c r="M90" s="17" t="e">
        <f>INDEX(Lists_Parameters!$D$54:$G$74,MATCH(M88,Lists_Parameters!$B$54:$B$74,0),MATCH('Wargame Calculator'!F97,Lists_Parameters!$D$53:$G$53,0))</f>
        <v>#N/A</v>
      </c>
      <c r="N90" s="32"/>
      <c r="O90" s="2"/>
      <c r="P90" s="2" t="s">
        <v>470</v>
      </c>
      <c r="Q90" s="172">
        <f>R90+S90</f>
        <v>0</v>
      </c>
      <c r="R90" s="281">
        <f>SUMPRODUCT($H$75:$H$82,Lists_Parameters!$M$51:$M$58)*'Wargame Calculator'!$N$66+SUMPRODUCT($H$75:$H$82,Lists_Parameters!$N$51:$N$58)*'Wargame Calculator'!$N$67+SUMPRODUCT($H$75:$H$82,Lists_Parameters!$O$51:$O$58)*'Wargame Calculator'!$N$68+SUMPRODUCT($H$75:$H$82,Lists_Parameters!$P$51:$P$58)*'Wargame Calculator'!$N$69</f>
        <v>0</v>
      </c>
      <c r="S90" s="172">
        <f>(SUMPRODUCT($L$75:$L$82,Lists_Parameters!$M$51:$M$58)*'Wargame Calculator'!$N$66+SUMPRODUCT($L$75:$L$82,Lists_Parameters!$N$51:$N$58)*'Wargame Calculator'!$N$67+SUMPRODUCT($L$75:$L$82,Lists_Parameters!$O$51:$O$58)*'Wargame Calculator'!$N$68+SUMPRODUCT($L$75:$L$82,Lists_Parameters!$P$51:$P$58)*'Wargame Calculator'!$N$69)*Lists_Parameters!$D$3</f>
        <v>0</v>
      </c>
      <c r="U90" s="4"/>
    </row>
    <row r="91" spans="2:25" ht="15" customHeight="1" x14ac:dyDescent="0.3">
      <c r="B91" s="1"/>
      <c r="C91" s="301"/>
      <c r="D91" s="2" t="s">
        <v>61</v>
      </c>
      <c r="E91" s="30">
        <f t="shared" ref="E91" si="22">SUM(F91:G91)</f>
        <v>0</v>
      </c>
      <c r="F91" s="17">
        <f>H82*Lists_Parameters!$F$9</f>
        <v>0</v>
      </c>
      <c r="G91" s="17">
        <f>IFERROR((L82*Lists_Parameters!$F$9*F105),L82*Lists_Parameters!$F$9)</f>
        <v>0</v>
      </c>
      <c r="H91" s="2"/>
      <c r="I91" s="32"/>
      <c r="J91" s="2"/>
      <c r="K91" s="2" t="s">
        <v>73</v>
      </c>
      <c r="L91" s="17" t="e">
        <f>(VLOOKUP(M88,Lists_Parameters!$B$54:$C$74,2,FALSE))*W82</f>
        <v>#N/A</v>
      </c>
      <c r="M91" s="2" t="s">
        <v>74</v>
      </c>
      <c r="N91" s="17" t="e">
        <f>IF(L92&gt;=M90,0,ROUNDUP((L91*(1+VLOOKUP((M90-L92),Lists_Parameters!$I$47:$J$55,2,FALSE))),0))</f>
        <v>#N/A</v>
      </c>
      <c r="O91" s="2"/>
      <c r="P91" s="2" t="s">
        <v>62</v>
      </c>
      <c r="Q91" s="172">
        <f>SUM(R91:S91)</f>
        <v>0</v>
      </c>
      <c r="R91" s="171">
        <f>SUMPRODUCT($F$24:$F$31,F75:F82)*Lists_Parameters!$D$7</f>
        <v>0</v>
      </c>
      <c r="S91" s="172">
        <f>SUMPRODUCT($F$24:$F$31,J75:J82)*Lists_Parameters!$D$7</f>
        <v>0</v>
      </c>
      <c r="U91" s="4"/>
    </row>
    <row r="92" spans="2:25" ht="15" customHeight="1" x14ac:dyDescent="0.3">
      <c r="B92" s="1"/>
      <c r="C92" s="301"/>
      <c r="D92" s="2" t="s">
        <v>181</v>
      </c>
      <c r="E92" s="17">
        <f>IFERROR((SUM(F92:G92)+P100),SUM(F92:G92))</f>
        <v>0</v>
      </c>
      <c r="F92" s="30">
        <f>SUMPRODUCT(H75:H82,$I$24:$I$31)</f>
        <v>0</v>
      </c>
      <c r="G92" s="30">
        <f>SUMPRODUCT(L75:L82,$I$24:$I$31)</f>
        <v>0</v>
      </c>
      <c r="H92" s="2"/>
      <c r="I92" s="2"/>
      <c r="J92" s="2"/>
      <c r="K92" s="2" t="s">
        <v>46</v>
      </c>
      <c r="L92" s="112"/>
      <c r="M92" s="2" t="s">
        <v>76</v>
      </c>
      <c r="N92" s="78">
        <f>IF(M88=0,0,IF(L92&gt;=M90,L91,IF(O85=Lists_Parameters!$L$13,'Wargame Calculator'!L91*0.5,'Wargame Calculator'!N91)))</f>
        <v>0</v>
      </c>
      <c r="O92" s="2"/>
      <c r="P92" s="2"/>
      <c r="Q92" s="2"/>
      <c r="R92" s="2"/>
      <c r="S92" s="2"/>
      <c r="U92" s="4"/>
    </row>
    <row r="93" spans="2:25" ht="15" customHeight="1" x14ac:dyDescent="0.3">
      <c r="B93" s="1"/>
      <c r="C93" s="301"/>
      <c r="D93" s="32" t="s">
        <v>196</v>
      </c>
      <c r="E93" s="2"/>
      <c r="F93" s="25"/>
      <c r="G93" s="2"/>
      <c r="H93" s="2"/>
      <c r="I93" s="2"/>
      <c r="J93" s="2"/>
      <c r="K93" s="2"/>
      <c r="L93" s="2"/>
      <c r="M93" s="2"/>
      <c r="N93" s="2"/>
      <c r="O93" s="2"/>
      <c r="P93" s="2" t="s">
        <v>108</v>
      </c>
      <c r="Q93" s="79">
        <f>I69+N92+SUM(Q89:Q91)</f>
        <v>0</v>
      </c>
      <c r="R93" s="2"/>
      <c r="S93" s="2"/>
      <c r="U93" s="4"/>
    </row>
    <row r="94" spans="2:25" ht="15" customHeight="1" x14ac:dyDescent="0.3">
      <c r="B94" s="1"/>
      <c r="C94" s="301"/>
      <c r="D94" s="2"/>
      <c r="E94" s="2"/>
      <c r="F94" s="25"/>
      <c r="G94" s="2"/>
      <c r="H94" s="2"/>
      <c r="I94" s="2"/>
      <c r="J94" s="2"/>
      <c r="K94" s="2"/>
      <c r="L94" s="2"/>
      <c r="M94" s="2"/>
      <c r="N94" s="2"/>
      <c r="O94" s="2"/>
      <c r="P94" s="2"/>
      <c r="Q94" s="2" t="s">
        <v>109</v>
      </c>
      <c r="R94" s="2"/>
      <c r="S94" s="2"/>
      <c r="U94" s="4"/>
    </row>
    <row r="95" spans="2:25" ht="15" customHeight="1" x14ac:dyDescent="0.3">
      <c r="B95" s="1"/>
      <c r="C95" s="301"/>
      <c r="D95" s="307" t="s">
        <v>265</v>
      </c>
      <c r="E95" s="307"/>
      <c r="F95" s="307"/>
      <c r="G95" s="307"/>
      <c r="H95" s="307"/>
      <c r="I95" s="307"/>
      <c r="J95" s="307"/>
      <c r="K95" s="307"/>
      <c r="L95" s="307"/>
      <c r="M95" s="307"/>
      <c r="N95" s="307"/>
      <c r="O95" s="307"/>
      <c r="P95" s="307"/>
      <c r="Q95" s="307"/>
      <c r="R95" s="307"/>
      <c r="S95" s="307"/>
      <c r="T95" s="307"/>
      <c r="U95" s="4"/>
    </row>
    <row r="96" spans="2:25" s="22" customFormat="1" ht="15" customHeight="1" x14ac:dyDescent="0.3">
      <c r="B96" s="130"/>
      <c r="C96" s="301"/>
      <c r="D96" s="305" t="s">
        <v>124</v>
      </c>
      <c r="E96" s="305"/>
      <c r="F96" s="305"/>
      <c r="G96" s="105"/>
      <c r="H96" s="317" t="s">
        <v>200</v>
      </c>
      <c r="I96" s="317"/>
      <c r="J96" s="105"/>
      <c r="K96" s="105"/>
      <c r="L96" s="305" t="s">
        <v>123</v>
      </c>
      <c r="M96" s="305"/>
      <c r="N96" s="305"/>
      <c r="O96" s="305"/>
      <c r="T96" s="160"/>
      <c r="U96" s="4"/>
      <c r="V96"/>
    </row>
    <row r="97" spans="2:32" ht="15" customHeight="1" x14ac:dyDescent="0.3">
      <c r="B97" s="1"/>
      <c r="C97" s="301"/>
      <c r="D97" s="127" t="s">
        <v>189</v>
      </c>
      <c r="E97" s="105"/>
      <c r="F97" s="17">
        <f>IF(E66="",F46,IF(I67&gt;=I66,E66,IF(E69="Yes",IF(I68&gt;=I66,E66,F46),F46)))</f>
        <v>1</v>
      </c>
      <c r="G97" s="2"/>
      <c r="H97" s="2" t="s">
        <v>68</v>
      </c>
      <c r="I97" s="172" t="e">
        <f ca="1">SUM(I98:I99)</f>
        <v>#N/A</v>
      </c>
      <c r="J97" s="2"/>
      <c r="K97" s="2"/>
      <c r="L97" s="315" t="s">
        <v>118</v>
      </c>
      <c r="M97" s="309"/>
      <c r="N97" s="310"/>
      <c r="O97" s="2" t="s">
        <v>55</v>
      </c>
      <c r="P97" s="17" t="e">
        <f>SUM(P98:P99)</f>
        <v>#N/A</v>
      </c>
      <c r="T97" s="2"/>
      <c r="U97" s="4"/>
    </row>
    <row r="98" spans="2:32" ht="15" customHeight="1" x14ac:dyDescent="0.3">
      <c r="B98" s="1"/>
      <c r="C98" s="301"/>
      <c r="D98" s="2" t="s">
        <v>190</v>
      </c>
      <c r="E98" s="2"/>
      <c r="F98" s="28" t="e">
        <f>IF(F97=P101,1,IF(F97&gt;P101,VLOOKUP(F97-P101,Lists_Parameters!$O$36:$Q$38,3,FALSE),VLOOKUP('Wargame Calculator'!P101-'Wargame Calculator'!F97,Lists_Parameters!$O$36:$Q$38,2,FALSE)))</f>
        <v>#N/A</v>
      </c>
      <c r="G98" s="2"/>
      <c r="H98" s="2" t="s">
        <v>66</v>
      </c>
      <c r="I98" s="172" t="e">
        <f ca="1">IF(F100=Lists_Parameters!$L$13,(((F105*G89)+F89+I89)*F98*F107*N70),(((F105*G89)+F89+I89)*F98*F107*N70)*Lists_Parameters!$D$5)</f>
        <v>#N/A</v>
      </c>
      <c r="J98" s="2"/>
      <c r="K98" s="2"/>
      <c r="L98" s="315"/>
      <c r="M98" s="311"/>
      <c r="N98" s="312"/>
      <c r="O98" s="2" t="s">
        <v>0</v>
      </c>
      <c r="P98" s="17" t="e">
        <f>INDEX('Crisis Scenario Data'!$H$50:$M$53,1,MATCH('Wargame Calculator'!M97,'Crisis Scenario Data'!$H$49:$M$49,0))</f>
        <v>#N/A</v>
      </c>
      <c r="T98" s="2"/>
      <c r="U98" s="4"/>
    </row>
    <row r="99" spans="2:32" ht="15" customHeight="1" x14ac:dyDescent="0.3">
      <c r="B99" s="1"/>
      <c r="C99" s="301"/>
      <c r="D99" s="2"/>
      <c r="E99" s="2"/>
      <c r="F99" s="27"/>
      <c r="G99" s="2"/>
      <c r="H99" s="2" t="s">
        <v>67</v>
      </c>
      <c r="I99" s="172" t="e">
        <f ca="1">IF(F100=Lists_Parameters!$L$13,(((F105*G90)+F90+I90)*F98*F107*N70),(((F105*G90)+F90+I90)*F98*F107*N70)*Lists_Parameters!$D$5)</f>
        <v>#N/A</v>
      </c>
      <c r="J99" s="2"/>
      <c r="K99" s="2"/>
      <c r="L99" s="315"/>
      <c r="M99" s="313"/>
      <c r="N99" s="314"/>
      <c r="O99" s="2" t="s">
        <v>1</v>
      </c>
      <c r="P99" s="17" t="e">
        <f>INDEX('Crisis Scenario Data'!$H$50:$M$53,2,MATCH('Wargame Calculator'!M97,'Crisis Scenario Data'!$H$49:$M$49,0))</f>
        <v>#N/A</v>
      </c>
      <c r="T99" s="2"/>
      <c r="U99" s="4"/>
    </row>
    <row r="100" spans="2:32" ht="15" customHeight="1" x14ac:dyDescent="0.3">
      <c r="B100" s="1"/>
      <c r="C100" s="301"/>
      <c r="D100" s="2" t="s">
        <v>107</v>
      </c>
      <c r="E100" s="2"/>
      <c r="F100" s="29" t="e">
        <f ca="1">'Meet Priority Force Reqt'!H3</f>
        <v>#N/A</v>
      </c>
      <c r="G100" s="2"/>
      <c r="H100" s="32" t="s">
        <v>476</v>
      </c>
      <c r="I100" s="2"/>
      <c r="J100" s="2"/>
      <c r="K100" s="2"/>
      <c r="L100" s="2"/>
      <c r="M100" s="2"/>
      <c r="O100" s="2" t="s">
        <v>96</v>
      </c>
      <c r="P100" s="17" t="e">
        <f>INDEX('Crisis Scenario Data'!$H$50:$M$53,3,MATCH('Wargame Calculator'!M97,'Crisis Scenario Data'!$H$49:$M$49,0))</f>
        <v>#N/A</v>
      </c>
      <c r="T100" s="2"/>
      <c r="U100" s="4"/>
    </row>
    <row r="101" spans="2:32" ht="15" customHeight="1" x14ac:dyDescent="0.3">
      <c r="B101" s="1"/>
      <c r="C101" s="301"/>
      <c r="D101" s="128" t="s">
        <v>183</v>
      </c>
      <c r="E101" s="2"/>
      <c r="F101" s="25"/>
      <c r="G101" s="2"/>
      <c r="H101" s="32" t="s">
        <v>480</v>
      </c>
      <c r="I101" s="2"/>
      <c r="J101" s="2"/>
      <c r="K101" s="2"/>
      <c r="L101" s="2"/>
      <c r="M101" s="2"/>
      <c r="O101" s="2" t="s">
        <v>2</v>
      </c>
      <c r="P101" s="17" t="e">
        <f>INDEX('Crisis Scenario Data'!$H$50:$M$53,4,MATCH('Wargame Calculator'!M97,'Crisis Scenario Data'!$H$49:$M$49,0))</f>
        <v>#N/A</v>
      </c>
      <c r="T101" s="2"/>
      <c r="U101" s="4"/>
    </row>
    <row r="102" spans="2:32" ht="15" customHeight="1" x14ac:dyDescent="0.3">
      <c r="B102" s="1"/>
      <c r="C102" s="301"/>
      <c r="D102" s="32" t="s">
        <v>185</v>
      </c>
      <c r="E102" s="2"/>
      <c r="F102" s="2"/>
      <c r="G102" s="2"/>
      <c r="H102" s="2"/>
      <c r="I102" s="2"/>
      <c r="J102" s="2"/>
      <c r="K102" s="2"/>
      <c r="L102" s="2"/>
      <c r="T102" s="2"/>
      <c r="U102" s="4"/>
    </row>
    <row r="103" spans="2:32" ht="15" customHeight="1" x14ac:dyDescent="0.3">
      <c r="B103" s="1"/>
      <c r="C103" s="301"/>
      <c r="D103" s="32"/>
      <c r="E103" s="2"/>
      <c r="F103" s="2"/>
      <c r="G103" s="2"/>
      <c r="H103" s="2"/>
      <c r="I103" s="2"/>
      <c r="J103" s="2"/>
      <c r="K103" s="2"/>
      <c r="L103" s="2"/>
      <c r="N103" s="316" t="s">
        <v>212</v>
      </c>
      <c r="O103" s="316"/>
      <c r="P103" s="316"/>
      <c r="T103" s="2"/>
      <c r="U103" s="4"/>
    </row>
    <row r="104" spans="2:32" ht="15" customHeight="1" x14ac:dyDescent="0.3">
      <c r="B104" s="1"/>
      <c r="C104" s="301"/>
      <c r="D104" s="2" t="s">
        <v>97</v>
      </c>
      <c r="E104" s="2"/>
      <c r="F104" s="111"/>
      <c r="G104" s="2"/>
      <c r="H104" s="2"/>
      <c r="I104" s="2"/>
      <c r="J104" s="2"/>
      <c r="K104" s="2"/>
      <c r="L104" s="2"/>
      <c r="N104" s="2" t="s">
        <v>119</v>
      </c>
      <c r="O104" s="2"/>
      <c r="P104" s="125" t="e">
        <f ca="1">IF((I97/P97)&gt;1,1,I97/P97)</f>
        <v>#N/A</v>
      </c>
      <c r="T104" s="153"/>
      <c r="U104" s="4"/>
    </row>
    <row r="105" spans="2:32" ht="15" customHeight="1" x14ac:dyDescent="0.3">
      <c r="B105" s="1"/>
      <c r="C105" s="301"/>
      <c r="D105" s="2" t="s">
        <v>98</v>
      </c>
      <c r="E105" s="2"/>
      <c r="F105" s="175" t="e">
        <f>VLOOKUP(F104,Lists_Parameters!$L$36:$M$46,2,FALSE)</f>
        <v>#N/A</v>
      </c>
      <c r="G105" s="2"/>
      <c r="H105" s="2"/>
      <c r="I105" s="2"/>
      <c r="J105" s="2"/>
      <c r="K105" s="2"/>
      <c r="L105" s="2"/>
      <c r="N105" s="2" t="s">
        <v>69</v>
      </c>
      <c r="O105" s="2"/>
      <c r="P105" s="17" t="e">
        <f ca="1">VLOOKUP(P104,Lists_Parameters!$B$19:$C$31,2,TRUE)</f>
        <v>#N/A</v>
      </c>
      <c r="T105" s="2"/>
      <c r="U105" s="4"/>
    </row>
    <row r="106" spans="2:32" ht="15" customHeight="1" thickBot="1" x14ac:dyDescent="0.35">
      <c r="B106" s="1"/>
      <c r="C106" s="301"/>
      <c r="D106" s="2"/>
      <c r="E106" s="2"/>
      <c r="F106" s="2"/>
      <c r="G106" s="2"/>
      <c r="H106" s="2"/>
      <c r="I106" s="2"/>
      <c r="J106" s="2"/>
      <c r="K106" s="2"/>
      <c r="L106" s="2"/>
      <c r="N106" s="2" t="s">
        <v>152</v>
      </c>
      <c r="O106" s="2"/>
      <c r="P106" s="111"/>
      <c r="T106" s="2"/>
      <c r="U106" s="4"/>
    </row>
    <row r="107" spans="2:32" ht="15" customHeight="1" thickBot="1" x14ac:dyDescent="0.35">
      <c r="B107" s="1"/>
      <c r="C107" s="301"/>
      <c r="D107" s="2" t="s">
        <v>99</v>
      </c>
      <c r="E107" s="2"/>
      <c r="F107" s="175" t="e">
        <f>IF((F91+(G91*F105))/((F92+(F105*G92))+P100)&gt;1,1,(F91+(G91*F105))/(F92+(F105*G92)+P100))</f>
        <v>#N/A</v>
      </c>
      <c r="G107" s="2"/>
      <c r="H107" s="2"/>
      <c r="I107" s="2"/>
      <c r="J107" s="2"/>
      <c r="K107" s="2"/>
      <c r="L107" s="2"/>
      <c r="N107" s="2" t="s">
        <v>486</v>
      </c>
      <c r="O107" s="2"/>
      <c r="P107" s="277" t="e">
        <f ca="1">IF(P106&lt;P105,VLOOKUP((P105-P106),Lists_Parameters!$Q$61:$S$71,3,FALSE),0)</f>
        <v>#N/A</v>
      </c>
      <c r="T107" s="2"/>
      <c r="U107" s="4"/>
    </row>
    <row r="108" spans="2:32" ht="15" customHeight="1" x14ac:dyDescent="0.3">
      <c r="B108" s="1"/>
      <c r="C108" s="301"/>
      <c r="G108" s="2"/>
      <c r="H108" s="2"/>
      <c r="I108" s="2"/>
      <c r="J108" s="2"/>
      <c r="K108" s="2"/>
      <c r="L108" s="2"/>
      <c r="N108" s="2" t="s">
        <v>102</v>
      </c>
      <c r="O108" s="2"/>
      <c r="P108" s="28" t="e">
        <f ca="1">IF(P105&gt;P106,(VLOOKUP(P104,Lists_Parameters!$B$19:$D$31,3)*'Wargame Calculator'!P97)+(P98-I99),VLOOKUP(P104,Lists_Parameters!$B$19:$D$31,3)*'Wargame Calculator'!P97)</f>
        <v>#N/A</v>
      </c>
      <c r="T108" s="2"/>
      <c r="U108" s="4"/>
    </row>
    <row r="109" spans="2:32" ht="15" customHeight="1" x14ac:dyDescent="0.3">
      <c r="B109" s="1"/>
      <c r="C109" s="301"/>
      <c r="D109" s="32" t="s">
        <v>191</v>
      </c>
      <c r="E109" s="2"/>
      <c r="F109" s="175" t="e">
        <f>N70</f>
        <v>#DIV/0!</v>
      </c>
      <c r="G109" s="2"/>
      <c r="H109" s="2"/>
      <c r="I109" s="2"/>
      <c r="J109" s="2"/>
      <c r="K109" s="2"/>
      <c r="L109" s="2"/>
      <c r="N109" s="32" t="s">
        <v>184</v>
      </c>
      <c r="T109" s="2"/>
      <c r="U109" s="4"/>
    </row>
    <row r="110" spans="2:32" ht="15" customHeight="1" x14ac:dyDescent="0.3">
      <c r="B110" s="1"/>
      <c r="C110" s="301"/>
      <c r="D110" s="2"/>
      <c r="E110" s="2"/>
      <c r="F110" s="2"/>
      <c r="G110" s="2"/>
      <c r="H110" s="2"/>
      <c r="I110" s="2"/>
      <c r="J110" s="2"/>
      <c r="K110" s="2"/>
      <c r="L110" s="2"/>
      <c r="M110" s="2"/>
      <c r="N110" s="2"/>
      <c r="O110" s="2"/>
      <c r="P110" s="2"/>
      <c r="Q110" s="2"/>
      <c r="R110" s="2"/>
      <c r="S110" s="2"/>
      <c r="T110" s="2"/>
      <c r="U110" s="4"/>
    </row>
    <row r="111" spans="2:32" ht="21" x14ac:dyDescent="0.4">
      <c r="B111" s="1"/>
      <c r="C111" s="304" t="s">
        <v>78</v>
      </c>
      <c r="D111" s="304"/>
      <c r="E111" s="304"/>
      <c r="F111" s="304"/>
      <c r="G111" s="304"/>
      <c r="H111" s="304"/>
      <c r="I111" s="304"/>
      <c r="J111" s="304"/>
      <c r="K111" s="304"/>
      <c r="L111" s="304"/>
      <c r="M111" s="304"/>
      <c r="N111" s="304"/>
      <c r="O111" s="304"/>
      <c r="P111" s="304"/>
      <c r="Q111" s="304"/>
      <c r="R111" s="304"/>
      <c r="S111" s="304"/>
      <c r="T111" s="304"/>
      <c r="U111" s="4"/>
      <c r="X111" s="20"/>
      <c r="Y111" s="20"/>
      <c r="Z111" s="20"/>
      <c r="AA111" s="20"/>
      <c r="AB111" s="20"/>
      <c r="AC111" s="20"/>
      <c r="AD111" s="20"/>
      <c r="AE111" s="20"/>
      <c r="AF111" s="20"/>
    </row>
    <row r="112" spans="2:32" ht="15" customHeight="1" x14ac:dyDescent="0.3">
      <c r="B112" s="1"/>
      <c r="C112" s="301" t="s">
        <v>270</v>
      </c>
      <c r="D112" s="2"/>
      <c r="E112" s="2"/>
      <c r="F112" s="2"/>
      <c r="G112" s="2"/>
      <c r="H112" s="2"/>
      <c r="I112" s="2"/>
      <c r="J112" s="2"/>
      <c r="K112" s="2"/>
      <c r="L112" s="2"/>
      <c r="M112" s="2"/>
      <c r="N112" s="2"/>
      <c r="O112" s="2"/>
      <c r="P112" s="2"/>
      <c r="Q112" s="2"/>
      <c r="R112" s="2"/>
      <c r="S112" s="2"/>
      <c r="T112" s="2"/>
      <c r="U112" s="4"/>
    </row>
    <row r="113" spans="2:25" ht="15" customHeight="1" x14ac:dyDescent="0.3">
      <c r="B113" s="1"/>
      <c r="C113" s="301"/>
      <c r="D113" s="306" t="s">
        <v>264</v>
      </c>
      <c r="E113" s="306"/>
      <c r="F113" s="306"/>
      <c r="G113" s="306"/>
      <c r="H113" s="306"/>
      <c r="I113" s="306"/>
      <c r="J113" s="306"/>
      <c r="K113" s="306"/>
      <c r="L113" s="306"/>
      <c r="M113" s="306"/>
      <c r="N113" s="306"/>
      <c r="O113" s="306"/>
      <c r="P113" s="306"/>
      <c r="Q113" s="306"/>
      <c r="R113" s="306"/>
      <c r="S113" s="306"/>
      <c r="T113" s="306"/>
      <c r="U113" s="4"/>
    </row>
    <row r="114" spans="2:25" ht="15" customHeight="1" x14ac:dyDescent="0.3">
      <c r="B114" s="1"/>
      <c r="C114" s="301"/>
      <c r="D114" s="2"/>
      <c r="E114" s="2"/>
      <c r="F114" s="2"/>
      <c r="G114" s="2"/>
      <c r="H114" s="2"/>
      <c r="I114" s="2"/>
      <c r="J114" s="2"/>
      <c r="K114" s="2"/>
      <c r="L114" s="2"/>
      <c r="M114" s="2"/>
      <c r="N114" s="2"/>
      <c r="O114" s="2"/>
      <c r="P114" s="2"/>
      <c r="Q114" s="2"/>
      <c r="R114" s="2"/>
      <c r="S114" s="2"/>
      <c r="T114" s="2"/>
      <c r="U114" s="4"/>
    </row>
    <row r="115" spans="2:25" ht="15" customHeight="1" x14ac:dyDescent="0.3">
      <c r="B115" s="1"/>
      <c r="C115" s="301"/>
      <c r="D115" s="300" t="s">
        <v>207</v>
      </c>
      <c r="E115" s="300"/>
      <c r="F115" s="300"/>
      <c r="G115" s="300"/>
      <c r="H115" s="300"/>
      <c r="I115" s="300"/>
      <c r="J115" s="300"/>
      <c r="K115" s="2"/>
      <c r="L115" s="300" t="s">
        <v>417</v>
      </c>
      <c r="M115" s="300"/>
      <c r="N115" s="300"/>
      <c r="O115" s="300"/>
      <c r="P115" s="300"/>
      <c r="Q115" s="300"/>
      <c r="R115" s="300"/>
      <c r="S115" s="2"/>
      <c r="T115" s="2"/>
      <c r="U115" s="4"/>
    </row>
    <row r="116" spans="2:25" ht="15" customHeight="1" x14ac:dyDescent="0.3">
      <c r="B116" s="1"/>
      <c r="C116" s="301"/>
      <c r="K116" s="2"/>
      <c r="L116" s="22"/>
      <c r="M116" s="273"/>
      <c r="N116" s="273" t="s">
        <v>273</v>
      </c>
      <c r="O116" s="273" t="s">
        <v>278</v>
      </c>
      <c r="P116" s="273" t="s">
        <v>427</v>
      </c>
      <c r="Q116" s="273" t="s">
        <v>428</v>
      </c>
      <c r="R116" s="273" t="s">
        <v>274</v>
      </c>
      <c r="S116" s="2"/>
      <c r="T116" s="2"/>
      <c r="U116" s="4"/>
    </row>
    <row r="117" spans="2:25" ht="15" customHeight="1" x14ac:dyDescent="0.3">
      <c r="B117" s="1"/>
      <c r="C117" s="301"/>
      <c r="D117" s="2" t="s">
        <v>75</v>
      </c>
      <c r="E117" s="203"/>
      <c r="F117" s="25" t="s">
        <v>73</v>
      </c>
      <c r="G117" s="17" t="e">
        <f>IF(E119=Lists_Parameters!$L$13,INDEX(Lists_Parameters!$C$36:$E$40,MATCH('Wargame Calculator'!E118,Lists_Parameters!$B$36:$B$40,0),MATCH('Wargame Calculator'!E117,Lists_Parameters!$C$35:$E$35,0))*2,INDEX(Lists_Parameters!$C$36:$E$40,MATCH('Wargame Calculator'!E118,Lists_Parameters!$B$36:$B$40,0),MATCH('Wargame Calculator'!E117,Lists_Parameters!$C$35:$E$35,0)))</f>
        <v>#N/A</v>
      </c>
      <c r="H117" s="2" t="s">
        <v>72</v>
      </c>
      <c r="I117" s="17" t="str">
        <f>IF(E117="","",VLOOKUP(E118,Lists_Parameters!$H$13:$J$17,3,FALSE))</f>
        <v/>
      </c>
      <c r="J117" s="2"/>
      <c r="K117" s="2"/>
      <c r="L117" s="22" t="s">
        <v>423</v>
      </c>
      <c r="M117" s="22"/>
      <c r="N117" s="299"/>
      <c r="O117" s="29">
        <f>SUMPRODUCT($H$126:$H$133,Lists_Parameters!$M$51:$M$58)+(SUMPRODUCT($L$126:$L$133,Lists_Parameters!$M$51:$M$58)*Lists_Parameters!$D$3)</f>
        <v>0</v>
      </c>
      <c r="P117" s="29">
        <f>VLOOKUP(N117,Lists_Parameters!$L$62:$M$72,2,TRUE)</f>
        <v>12</v>
      </c>
      <c r="Q117" s="280"/>
      <c r="R117" s="29" t="e">
        <f>IF(Q117&lt;P117,VLOOKUP((P117-Q117),Lists_Parameters!$Q$61:$S$71,2,FALSE),0)</f>
        <v>#N/A</v>
      </c>
      <c r="S117" s="2"/>
      <c r="T117" s="2"/>
      <c r="U117" s="4"/>
    </row>
    <row r="118" spans="2:25" ht="15" customHeight="1" x14ac:dyDescent="0.3">
      <c r="B118" s="1"/>
      <c r="C118" s="301"/>
      <c r="D118" s="2" t="s">
        <v>77</v>
      </c>
      <c r="E118" s="203"/>
      <c r="F118" s="25" t="s">
        <v>84</v>
      </c>
      <c r="G118" s="17" t="str">
        <f>IFERROR(IF(E119=Lists_Parameters!$L$13,INDEX(Lists_Parameters!$G$36:$I$40,MATCH(((VLOOKUP(E118,Lists_Parameters!$H$13:$J$17,3,FALSE))-I118),Lists_Parameters!$F$36:$F$40,0),MATCH('Wargame Calculator'!E117,Lists_Parameters!$G$35:$I$35,0))*2,INDEX(Lists_Parameters!$G$36:$I$40,MATCH(((VLOOKUP(E118,Lists_Parameters!$H$13:$J$17,3,FALSE))-I118),Lists_Parameters!$F$36:$F$40,0),MATCH('Wargame Calculator'!E117,Lists_Parameters!$G$35:$I$35,0))),"")</f>
        <v/>
      </c>
      <c r="H118" s="2" t="s">
        <v>83</v>
      </c>
      <c r="I118" s="112"/>
      <c r="J118" s="2"/>
      <c r="K118" s="2"/>
      <c r="L118" s="22" t="s">
        <v>424</v>
      </c>
      <c r="M118" s="22"/>
      <c r="N118" s="299"/>
      <c r="O118" s="29">
        <f>SUMPRODUCT($H$126:$H$133,Lists_Parameters!$N$51:$N$58)+(SUMPRODUCT(L126:L133,Lists_Parameters!$N$51:$N$58)*Lists_Parameters!$D$3)</f>
        <v>0</v>
      </c>
      <c r="P118" s="29">
        <f>VLOOKUP(N118,Lists_Parameters!$L$62:$M$72,2,TRUE)</f>
        <v>12</v>
      </c>
      <c r="Q118" s="280"/>
      <c r="R118" s="29" t="e">
        <f>IF(Q118&lt;P118,VLOOKUP((P118-Q118),Lists_Parameters!$Q$61:$S$71,2,FALSE),0)</f>
        <v>#N/A</v>
      </c>
      <c r="S118" s="2"/>
      <c r="T118" s="2"/>
      <c r="U118" s="4"/>
    </row>
    <row r="119" spans="2:25" ht="15" customHeight="1" x14ac:dyDescent="0.3">
      <c r="B119" s="1"/>
      <c r="C119" s="301"/>
      <c r="D119" s="25" t="s">
        <v>209</v>
      </c>
      <c r="E119" s="29" t="str">
        <f>IF(E117&gt;F97+1,"Yes","No")</f>
        <v>No</v>
      </c>
      <c r="G119" s="2"/>
      <c r="H119" t="s">
        <v>180</v>
      </c>
      <c r="I119" s="112"/>
      <c r="J119" s="2"/>
      <c r="K119" s="2"/>
      <c r="L119" s="2" t="s">
        <v>425</v>
      </c>
      <c r="M119" s="22"/>
      <c r="N119" s="299"/>
      <c r="O119" s="29">
        <f>SUMPRODUCT($H$126:$H$133,Lists_Parameters!$O$51:$O$58)+(SUMPRODUCT($L$126:$L$133,Lists_Parameters!$O$51:$O$58)*Lists_Parameters!$D$3)</f>
        <v>0</v>
      </c>
      <c r="P119" s="29">
        <f>VLOOKUP(N119,Lists_Parameters!$L$62:$M$72,2,TRUE)</f>
        <v>12</v>
      </c>
      <c r="Q119" s="280"/>
      <c r="R119" s="29" t="e">
        <f>IF(Q119&lt;P119,VLOOKUP((P119-Q119),Lists_Parameters!$Q$61:$S$71,2,FALSE),0)</f>
        <v>#N/A</v>
      </c>
      <c r="S119" s="2"/>
      <c r="T119" s="2"/>
      <c r="U119" s="4"/>
    </row>
    <row r="120" spans="2:25" ht="15" customHeight="1" thickBot="1" x14ac:dyDescent="0.35">
      <c r="B120" s="1"/>
      <c r="C120" s="301"/>
      <c r="D120" s="25" t="s">
        <v>178</v>
      </c>
      <c r="E120" s="204"/>
      <c r="F120" s="2"/>
      <c r="G120" s="2"/>
      <c r="H120" s="2" t="s">
        <v>76</v>
      </c>
      <c r="I120" s="78">
        <f>IFERROR(IF(I118="",0,IF(I118&gt;=VLOOKUP(E118,Lists_Parameters!$H$13:$J$17,3,FALSE),G117,IF(E120="No",G117,(G117+G118)))),0)</f>
        <v>0</v>
      </c>
      <c r="J120" s="2"/>
      <c r="K120" s="2"/>
      <c r="L120" s="22" t="s">
        <v>426</v>
      </c>
      <c r="M120" s="22"/>
      <c r="N120" s="299"/>
      <c r="O120" s="29">
        <f>SUMPRODUCT($H$126:$H$133,Lists_Parameters!$P$51:$P$58)+(SUMPRODUCT($L$126:$L$133,Lists_Parameters!$P$51:$P$58)*Lists_Parameters!$D$3)</f>
        <v>0</v>
      </c>
      <c r="P120" s="29">
        <f>VLOOKUP(N120,Lists_Parameters!$L$62:$M$72,2,TRUE)</f>
        <v>12</v>
      </c>
      <c r="Q120" s="280"/>
      <c r="R120" s="29" t="e">
        <f>IF(Q120&lt;P120,VLOOKUP((P120-Q120),Lists_Parameters!$Q$61:$S$71,2,FALSE),0)</f>
        <v>#N/A</v>
      </c>
      <c r="S120" s="2"/>
      <c r="T120" s="2"/>
      <c r="U120" s="4"/>
    </row>
    <row r="121" spans="2:25" ht="15" customHeight="1" thickBot="1" x14ac:dyDescent="0.35">
      <c r="B121" s="1"/>
      <c r="C121" s="301"/>
      <c r="D121" s="178" t="s">
        <v>210</v>
      </c>
      <c r="E121" s="2"/>
      <c r="F121" s="2"/>
      <c r="G121" s="2"/>
      <c r="H121" s="2"/>
      <c r="I121" s="2"/>
      <c r="J121" s="2"/>
      <c r="K121" s="2"/>
      <c r="L121" s="32" t="s">
        <v>421</v>
      </c>
      <c r="M121" s="22"/>
      <c r="N121" s="272" t="e">
        <f>SUMPRODUCT(N117:N120,O117:O120)/SUM(O117:O120)</f>
        <v>#DIV/0!</v>
      </c>
      <c r="O121" s="2"/>
      <c r="P121" s="2"/>
      <c r="Q121" s="273" t="s">
        <v>468</v>
      </c>
      <c r="R121" s="277" t="e">
        <f>SUM(R117:R120)</f>
        <v>#N/A</v>
      </c>
      <c r="S121" s="2"/>
      <c r="T121" s="2"/>
      <c r="U121" s="4"/>
    </row>
    <row r="122" spans="2:25" ht="15" customHeight="1" x14ac:dyDescent="0.4">
      <c r="B122" s="1"/>
      <c r="C122" s="301"/>
      <c r="E122" s="2"/>
      <c r="F122" s="2"/>
      <c r="G122" s="2"/>
      <c r="H122" s="2"/>
      <c r="I122" s="2"/>
      <c r="J122" s="2"/>
      <c r="K122" s="2"/>
      <c r="L122" s="32" t="s">
        <v>422</v>
      </c>
      <c r="M122" s="22"/>
      <c r="N122" s="154"/>
      <c r="O122" s="154"/>
      <c r="P122" s="154"/>
      <c r="Q122" s="273" t="s">
        <v>469</v>
      </c>
      <c r="R122" s="154"/>
      <c r="S122" s="2"/>
      <c r="T122" s="2"/>
      <c r="U122" s="4"/>
    </row>
    <row r="123" spans="2:25" ht="15" customHeight="1" x14ac:dyDescent="0.3">
      <c r="B123" s="1"/>
      <c r="C123" s="301"/>
      <c r="D123" s="2"/>
      <c r="E123" s="317" t="s">
        <v>208</v>
      </c>
      <c r="F123" s="317"/>
      <c r="G123" s="317"/>
      <c r="H123" s="317"/>
      <c r="I123" s="317"/>
      <c r="J123" s="317"/>
      <c r="K123" s="317"/>
      <c r="L123" s="317"/>
      <c r="M123" s="317"/>
      <c r="N123" s="317"/>
      <c r="O123" s="317"/>
      <c r="P123" s="317"/>
      <c r="Q123" s="317"/>
      <c r="R123" s="317"/>
      <c r="S123" s="317"/>
      <c r="T123" s="317"/>
      <c r="U123" s="4"/>
    </row>
    <row r="124" spans="2:25" ht="15" customHeight="1" x14ac:dyDescent="0.3">
      <c r="B124" s="1"/>
      <c r="C124" s="301"/>
      <c r="D124" s="2"/>
      <c r="E124" s="319" t="s">
        <v>57</v>
      </c>
      <c r="F124" s="319"/>
      <c r="G124" s="319"/>
      <c r="H124" s="320"/>
      <c r="I124" s="325" t="s">
        <v>58</v>
      </c>
      <c r="J124" s="319"/>
      <c r="K124" s="319"/>
      <c r="L124" s="320"/>
      <c r="M124" s="319" t="s">
        <v>145</v>
      </c>
      <c r="N124" s="319"/>
      <c r="O124" s="319"/>
      <c r="P124" s="2"/>
      <c r="Q124" s="307" t="s">
        <v>205</v>
      </c>
      <c r="R124" s="307"/>
      <c r="S124" s="307"/>
      <c r="T124" s="307"/>
      <c r="U124" s="4"/>
    </row>
    <row r="125" spans="2:25" ht="15" customHeight="1" x14ac:dyDescent="0.3">
      <c r="B125" s="1"/>
      <c r="C125" s="301"/>
      <c r="D125" s="2"/>
      <c r="E125" s="118" t="s">
        <v>142</v>
      </c>
      <c r="F125" s="118" t="s">
        <v>62</v>
      </c>
      <c r="G125" s="118" t="s">
        <v>101</v>
      </c>
      <c r="H125" s="118" t="s">
        <v>122</v>
      </c>
      <c r="I125" s="82" t="s">
        <v>142</v>
      </c>
      <c r="J125" s="118" t="s">
        <v>62</v>
      </c>
      <c r="K125" s="118" t="s">
        <v>101</v>
      </c>
      <c r="L125" s="118" t="s">
        <v>122</v>
      </c>
      <c r="M125" s="84" t="s">
        <v>186</v>
      </c>
      <c r="N125" s="104" t="s">
        <v>187</v>
      </c>
      <c r="O125" s="104" t="s">
        <v>188</v>
      </c>
      <c r="P125" s="103"/>
      <c r="Q125" s="103" t="s">
        <v>197</v>
      </c>
      <c r="R125" s="103" t="s">
        <v>1</v>
      </c>
      <c r="S125" s="103" t="s">
        <v>198</v>
      </c>
      <c r="T125" s="103" t="s">
        <v>204</v>
      </c>
      <c r="U125" s="4"/>
      <c r="V125" s="180"/>
      <c r="W125" s="180" t="s">
        <v>248</v>
      </c>
      <c r="X125" s="34" t="s">
        <v>85</v>
      </c>
      <c r="Y125" s="34" t="s">
        <v>86</v>
      </c>
    </row>
    <row r="126" spans="2:25" ht="15" customHeight="1" x14ac:dyDescent="0.3">
      <c r="B126" s="1"/>
      <c r="C126" s="301"/>
      <c r="D126" s="2" t="str">
        <f t="shared" ref="D126:D133" si="23">D24</f>
        <v>Infantry</v>
      </c>
      <c r="E126" s="106"/>
      <c r="F126" s="106"/>
      <c r="G126" s="106"/>
      <c r="H126" s="81">
        <f t="shared" ref="H126:H133" si="24">H75+E126-F126-G126</f>
        <v>0</v>
      </c>
      <c r="I126" s="110"/>
      <c r="J126" s="106"/>
      <c r="K126" s="106"/>
      <c r="L126" s="81">
        <f t="shared" ref="L126:L133" si="25">L75+I126-J126-K126</f>
        <v>0</v>
      </c>
      <c r="M126" s="109" t="str">
        <f t="shared" ref="M126:O126" si="26">IF(M75="","",M75)</f>
        <v/>
      </c>
      <c r="N126" s="109" t="str">
        <f t="shared" si="26"/>
        <v/>
      </c>
      <c r="O126" s="109" t="str">
        <f t="shared" si="26"/>
        <v/>
      </c>
      <c r="P126" s="2"/>
      <c r="Q126" s="17">
        <f t="shared" ref="Q126:S133" si="27">G24*($H126+$L126)</f>
        <v>0</v>
      </c>
      <c r="R126" s="17">
        <f t="shared" si="27"/>
        <v>0</v>
      </c>
      <c r="S126" s="17">
        <f t="shared" si="27"/>
        <v>0</v>
      </c>
      <c r="U126" s="4"/>
      <c r="W126">
        <f>COUNTIFS(M126:O126,"Round 3")*SUM(H126,L126)</f>
        <v>0</v>
      </c>
      <c r="X126">
        <f>IF(OR('Wargame Calculator'!M126=Lists_Parameters!$F$16,'Wargame Calculator'!N126=Lists_Parameters!$F$16,O126=Lists_Parameters!$F$16),1,0)</f>
        <v>0</v>
      </c>
      <c r="Y126">
        <f t="shared" ref="Y126:Y132" si="28">X126*SUM(H126,L126)</f>
        <v>0</v>
      </c>
    </row>
    <row r="127" spans="2:25" ht="15" customHeight="1" x14ac:dyDescent="0.3">
      <c r="B127" s="1"/>
      <c r="C127" s="301"/>
      <c r="D127" s="2" t="str">
        <f t="shared" si="23"/>
        <v>Armor</v>
      </c>
      <c r="E127" s="106"/>
      <c r="F127" s="106"/>
      <c r="G127" s="106"/>
      <c r="H127" s="81">
        <f t="shared" si="24"/>
        <v>0</v>
      </c>
      <c r="I127" s="110"/>
      <c r="J127" s="106"/>
      <c r="K127" s="106"/>
      <c r="L127" s="81">
        <f t="shared" si="25"/>
        <v>0</v>
      </c>
      <c r="M127" s="109" t="str">
        <f t="shared" ref="M127" si="29">IF(M76="","",M76)</f>
        <v/>
      </c>
      <c r="N127" s="109" t="str">
        <f t="shared" ref="N127:O127" si="30">IF(N76="","",N76)</f>
        <v/>
      </c>
      <c r="O127" s="109" t="str">
        <f t="shared" si="30"/>
        <v/>
      </c>
      <c r="P127" s="2"/>
      <c r="Q127" s="17">
        <f t="shared" si="27"/>
        <v>0</v>
      </c>
      <c r="R127" s="17">
        <f t="shared" si="27"/>
        <v>0</v>
      </c>
      <c r="S127" s="17">
        <f t="shared" si="27"/>
        <v>0</v>
      </c>
      <c r="U127" s="4"/>
      <c r="W127">
        <f t="shared" ref="W127:W132" si="31">COUNTIFS(M127:O127,"Round 3")*SUM(H127,L127)</f>
        <v>0</v>
      </c>
      <c r="X127">
        <f>IF(OR('Wargame Calculator'!M127=Lists_Parameters!$F$16,'Wargame Calculator'!N127=Lists_Parameters!$F$16,O127=Lists_Parameters!$F$16),1,0)</f>
        <v>0</v>
      </c>
      <c r="Y127">
        <f t="shared" si="28"/>
        <v>0</v>
      </c>
    </row>
    <row r="128" spans="2:25" ht="15" customHeight="1" x14ac:dyDescent="0.3">
      <c r="B128" s="1"/>
      <c r="C128" s="301"/>
      <c r="D128" s="2" t="str">
        <f t="shared" si="23"/>
        <v>Stryker</v>
      </c>
      <c r="E128" s="106"/>
      <c r="F128" s="106"/>
      <c r="G128" s="106"/>
      <c r="H128" s="81">
        <f t="shared" si="24"/>
        <v>0</v>
      </c>
      <c r="I128" s="110"/>
      <c r="J128" s="106"/>
      <c r="K128" s="106"/>
      <c r="L128" s="81">
        <f t="shared" si="25"/>
        <v>0</v>
      </c>
      <c r="M128" s="109" t="str">
        <f t="shared" ref="M128:M129" si="32">IF(M77="","",M77)</f>
        <v/>
      </c>
      <c r="N128" s="109" t="str">
        <f t="shared" ref="N128:O128" si="33">IF(N77="","",N77)</f>
        <v/>
      </c>
      <c r="O128" s="109" t="str">
        <f t="shared" si="33"/>
        <v/>
      </c>
      <c r="P128" s="2"/>
      <c r="Q128" s="17">
        <f t="shared" si="27"/>
        <v>0</v>
      </c>
      <c r="R128" s="17">
        <f t="shared" si="27"/>
        <v>0</v>
      </c>
      <c r="S128" s="17">
        <f t="shared" si="27"/>
        <v>0</v>
      </c>
      <c r="U128" s="4"/>
      <c r="W128">
        <f t="shared" si="31"/>
        <v>0</v>
      </c>
      <c r="X128">
        <f>IF(OR('Wargame Calculator'!M128=Lists_Parameters!$F$16,'Wargame Calculator'!N128=Lists_Parameters!$F$16,O128=Lists_Parameters!$F$16),1,0)</f>
        <v>0</v>
      </c>
      <c r="Y128">
        <f t="shared" si="28"/>
        <v>0</v>
      </c>
    </row>
    <row r="129" spans="2:25" ht="15" customHeight="1" x14ac:dyDescent="0.3">
      <c r="B129" s="1"/>
      <c r="C129" s="301"/>
      <c r="D129" s="2" t="str">
        <f t="shared" si="23"/>
        <v>Aviation</v>
      </c>
      <c r="E129" s="106"/>
      <c r="F129" s="106"/>
      <c r="G129" s="106"/>
      <c r="H129" s="81">
        <f t="shared" si="24"/>
        <v>0</v>
      </c>
      <c r="I129" s="110"/>
      <c r="J129" s="106"/>
      <c r="K129" s="106"/>
      <c r="L129" s="81">
        <f t="shared" si="25"/>
        <v>0</v>
      </c>
      <c r="M129" s="109" t="str">
        <f t="shared" si="32"/>
        <v/>
      </c>
      <c r="N129" s="109" t="str">
        <f t="shared" ref="N129:O129" si="34">IF(N78="","",N78)</f>
        <v/>
      </c>
      <c r="O129" s="109" t="str">
        <f t="shared" si="34"/>
        <v/>
      </c>
      <c r="P129" s="2"/>
      <c r="Q129" s="17">
        <f t="shared" si="27"/>
        <v>0</v>
      </c>
      <c r="R129" s="17">
        <f t="shared" si="27"/>
        <v>0</v>
      </c>
      <c r="S129" s="17">
        <f t="shared" si="27"/>
        <v>0</v>
      </c>
      <c r="U129" s="4"/>
      <c r="W129">
        <f t="shared" si="31"/>
        <v>0</v>
      </c>
      <c r="X129">
        <f>IF(OR('Wargame Calculator'!M129=Lists_Parameters!$F$16,'Wargame Calculator'!N129=Lists_Parameters!$F$16,O129=Lists_Parameters!$F$16),1,0)</f>
        <v>0</v>
      </c>
      <c r="Y129">
        <f t="shared" si="28"/>
        <v>0</v>
      </c>
    </row>
    <row r="130" spans="2:25" ht="15" customHeight="1" x14ac:dyDescent="0.3">
      <c r="B130" s="1"/>
      <c r="C130" s="301"/>
      <c r="D130" s="2" t="str">
        <f t="shared" si="23"/>
        <v>Artillery</v>
      </c>
      <c r="E130" s="106"/>
      <c r="F130" s="106"/>
      <c r="G130" s="106"/>
      <c r="H130" s="81">
        <f t="shared" si="24"/>
        <v>0</v>
      </c>
      <c r="I130" s="110"/>
      <c r="J130" s="106"/>
      <c r="K130" s="106"/>
      <c r="L130" s="81">
        <f t="shared" si="25"/>
        <v>0</v>
      </c>
      <c r="M130" s="109" t="str">
        <f t="shared" ref="M130" si="35">IF(M79="","",M79)</f>
        <v/>
      </c>
      <c r="N130" s="109" t="str">
        <f t="shared" ref="N130:O130" si="36">IF(N79="","",N79)</f>
        <v/>
      </c>
      <c r="O130" s="109" t="str">
        <f t="shared" si="36"/>
        <v/>
      </c>
      <c r="P130" s="2"/>
      <c r="Q130" s="17">
        <f t="shared" si="27"/>
        <v>0</v>
      </c>
      <c r="R130" s="17">
        <f t="shared" si="27"/>
        <v>0</v>
      </c>
      <c r="S130" s="17">
        <f t="shared" si="27"/>
        <v>0</v>
      </c>
      <c r="U130" s="4"/>
      <c r="W130">
        <f t="shared" si="31"/>
        <v>0</v>
      </c>
      <c r="X130">
        <f>IF(OR('Wargame Calculator'!M130=Lists_Parameters!$F$16,'Wargame Calculator'!N130=Lists_Parameters!$F$16,O130=Lists_Parameters!$F$16),1,0)</f>
        <v>0</v>
      </c>
      <c r="Y130">
        <f t="shared" si="28"/>
        <v>0</v>
      </c>
    </row>
    <row r="131" spans="2:25" ht="15" customHeight="1" x14ac:dyDescent="0.3">
      <c r="B131" s="1"/>
      <c r="C131" s="301"/>
      <c r="D131" s="2" t="str">
        <f t="shared" si="23"/>
        <v>Special Operations</v>
      </c>
      <c r="E131" s="106"/>
      <c r="F131" s="106"/>
      <c r="G131" s="106"/>
      <c r="H131" s="81">
        <f t="shared" si="24"/>
        <v>0</v>
      </c>
      <c r="I131" s="110"/>
      <c r="J131" s="106"/>
      <c r="K131" s="106"/>
      <c r="L131" s="81">
        <f t="shared" si="25"/>
        <v>0</v>
      </c>
      <c r="M131" s="109" t="str">
        <f t="shared" ref="M131" si="37">IF(M80="","",M80)</f>
        <v/>
      </c>
      <c r="N131" s="109" t="str">
        <f t="shared" ref="N131:O131" si="38">IF(N80="","",N80)</f>
        <v/>
      </c>
      <c r="O131" s="109" t="str">
        <f t="shared" si="38"/>
        <v/>
      </c>
      <c r="P131" s="2"/>
      <c r="Q131" s="17">
        <f t="shared" si="27"/>
        <v>0</v>
      </c>
      <c r="R131" s="17">
        <f t="shared" si="27"/>
        <v>0</v>
      </c>
      <c r="S131" s="17">
        <f t="shared" si="27"/>
        <v>0</v>
      </c>
      <c r="U131" s="4"/>
      <c r="W131">
        <f t="shared" si="31"/>
        <v>0</v>
      </c>
      <c r="X131">
        <f>IF(OR('Wargame Calculator'!M131=Lists_Parameters!$F$16,'Wargame Calculator'!N131=Lists_Parameters!$F$16,O131=Lists_Parameters!$F$16),1,0)</f>
        <v>0</v>
      </c>
      <c r="Y131">
        <f t="shared" si="28"/>
        <v>0</v>
      </c>
    </row>
    <row r="132" spans="2:25" ht="15" customHeight="1" x14ac:dyDescent="0.3">
      <c r="B132" s="1"/>
      <c r="C132" s="301"/>
      <c r="D132" s="2" t="str">
        <f t="shared" si="23"/>
        <v>Air Defense</v>
      </c>
      <c r="E132" s="106"/>
      <c r="F132" s="106"/>
      <c r="G132" s="106"/>
      <c r="H132" s="81">
        <f t="shared" si="24"/>
        <v>0</v>
      </c>
      <c r="I132" s="110"/>
      <c r="J132" s="106"/>
      <c r="K132" s="106"/>
      <c r="L132" s="81">
        <f t="shared" si="25"/>
        <v>0</v>
      </c>
      <c r="M132" s="109" t="str">
        <f t="shared" ref="M132" si="39">IF(M81="","",M81)</f>
        <v/>
      </c>
      <c r="N132" s="109" t="str">
        <f t="shared" ref="N132:O132" si="40">IF(N81="","",N81)</f>
        <v/>
      </c>
      <c r="O132" s="109" t="str">
        <f t="shared" si="40"/>
        <v/>
      </c>
      <c r="P132" s="2"/>
      <c r="Q132" s="17">
        <f t="shared" si="27"/>
        <v>0</v>
      </c>
      <c r="R132" s="17">
        <f t="shared" si="27"/>
        <v>0</v>
      </c>
      <c r="S132" s="17">
        <f t="shared" si="27"/>
        <v>0</v>
      </c>
      <c r="U132" s="4"/>
      <c r="W132">
        <f t="shared" si="31"/>
        <v>0</v>
      </c>
      <c r="X132">
        <f>IF(OR('Wargame Calculator'!M132=Lists_Parameters!$F$16,'Wargame Calculator'!N132=Lists_Parameters!$F$16,O132=Lists_Parameters!$F$16),1,0)</f>
        <v>0</v>
      </c>
      <c r="Y132">
        <f t="shared" si="28"/>
        <v>0</v>
      </c>
    </row>
    <row r="133" spans="2:25" ht="15" customHeight="1" x14ac:dyDescent="0.3">
      <c r="B133" s="1"/>
      <c r="C133" s="301"/>
      <c r="D133" s="2" t="str">
        <f t="shared" si="23"/>
        <v>Enablers</v>
      </c>
      <c r="E133" s="106"/>
      <c r="F133" s="106"/>
      <c r="G133" s="106"/>
      <c r="H133" s="81">
        <f t="shared" si="24"/>
        <v>0</v>
      </c>
      <c r="I133" s="110"/>
      <c r="J133" s="106"/>
      <c r="K133" s="106"/>
      <c r="L133" s="81">
        <f t="shared" si="25"/>
        <v>0</v>
      </c>
      <c r="M133" s="24" t="str">
        <f>IF(M84="","",M84)</f>
        <v/>
      </c>
      <c r="N133" s="24" t="str">
        <f>IF(N84="","",N84)</f>
        <v/>
      </c>
      <c r="O133" s="24" t="str">
        <f>IF(O84="","",O84)</f>
        <v/>
      </c>
      <c r="P133" s="2"/>
      <c r="Q133" s="17">
        <f t="shared" si="27"/>
        <v>0</v>
      </c>
      <c r="R133" s="17">
        <f t="shared" si="27"/>
        <v>0</v>
      </c>
      <c r="S133" s="17">
        <f t="shared" si="27"/>
        <v>0</v>
      </c>
      <c r="U133" s="4"/>
      <c r="V133" t="s">
        <v>249</v>
      </c>
      <c r="W133">
        <f>SUM(W126:W132)</f>
        <v>0</v>
      </c>
      <c r="X133">
        <f>SUM(X126:X132)</f>
        <v>0</v>
      </c>
      <c r="Y133">
        <f>SUM(Y126:Y132)</f>
        <v>0</v>
      </c>
    </row>
    <row r="134" spans="2:25" ht="15" customHeight="1" x14ac:dyDescent="0.3">
      <c r="B134" s="1"/>
      <c r="C134" s="301"/>
      <c r="D134" s="2"/>
      <c r="E134" s="23" t="s">
        <v>55</v>
      </c>
      <c r="F134" s="2" t="s">
        <v>141</v>
      </c>
      <c r="G134" s="17">
        <f>SUMPRODUCT(G126:G133,$E$24:$E$31)+SUMPRODUCT(K126:K133,$E$24:$E$31)</f>
        <v>0</v>
      </c>
      <c r="H134" s="2" t="s">
        <v>143</v>
      </c>
      <c r="I134" s="2"/>
      <c r="J134" s="2"/>
      <c r="K134" s="2"/>
      <c r="L134" s="2"/>
      <c r="M134" s="321" t="s">
        <v>144</v>
      </c>
      <c r="N134" s="321"/>
      <c r="O134" s="321"/>
      <c r="P134" s="159" t="s">
        <v>201</v>
      </c>
      <c r="Q134" s="158">
        <f>SUM(Q126:Q133)+I140</f>
        <v>0</v>
      </c>
      <c r="R134" s="158">
        <f>SUM(R126:R133)+I141</f>
        <v>0</v>
      </c>
      <c r="S134" s="158">
        <f t="shared" ref="S134" si="41">SUM(S126:S133)</f>
        <v>0</v>
      </c>
      <c r="T134" s="158">
        <f>(H133+L133)*Lists_Parameters!$F$9</f>
        <v>0</v>
      </c>
      <c r="U134" s="4"/>
    </row>
    <row r="135" spans="2:25" ht="15" customHeight="1" x14ac:dyDescent="0.3">
      <c r="B135" s="1"/>
      <c r="C135" s="301"/>
      <c r="E135" s="2"/>
      <c r="F135" s="2"/>
      <c r="G135" s="2"/>
      <c r="H135" s="2" t="s">
        <v>479</v>
      </c>
      <c r="I135" s="2"/>
      <c r="J135" s="2"/>
      <c r="K135" s="2"/>
      <c r="L135" s="2"/>
      <c r="M135" s="322"/>
      <c r="N135" s="322"/>
      <c r="O135" s="322"/>
      <c r="P135" s="2"/>
      <c r="Q135" s="2" t="s">
        <v>199</v>
      </c>
      <c r="R135" s="2"/>
      <c r="S135" s="2"/>
      <c r="T135" s="2"/>
      <c r="U135" s="4"/>
    </row>
    <row r="136" spans="2:25" ht="15" customHeight="1" x14ac:dyDescent="0.3">
      <c r="B136" s="1"/>
      <c r="C136" s="301"/>
      <c r="D136" s="2"/>
      <c r="E136" s="2"/>
      <c r="F136" s="2"/>
      <c r="G136" s="2"/>
      <c r="H136" s="2"/>
      <c r="I136" s="2"/>
      <c r="J136" s="2"/>
      <c r="K136" s="2"/>
      <c r="L136" s="2"/>
      <c r="M136" s="2" t="s">
        <v>121</v>
      </c>
      <c r="O136" s="109" t="s">
        <v>94</v>
      </c>
      <c r="P136" s="2"/>
      <c r="Q136" s="2" t="s">
        <v>202</v>
      </c>
      <c r="R136" s="2"/>
      <c r="S136" s="2"/>
      <c r="T136" s="2"/>
      <c r="U136" s="4"/>
    </row>
    <row r="137" spans="2:25" ht="15" customHeight="1" x14ac:dyDescent="0.3">
      <c r="B137" s="1"/>
      <c r="C137" s="301"/>
      <c r="D137" s="2"/>
      <c r="E137" s="2"/>
      <c r="F137" s="2"/>
      <c r="G137" s="2"/>
      <c r="H137" s="2"/>
      <c r="I137" s="2"/>
      <c r="J137" s="2"/>
      <c r="K137" s="2"/>
      <c r="L137" s="2"/>
      <c r="M137" s="2"/>
      <c r="N137" s="2"/>
      <c r="O137" s="2"/>
      <c r="P137" s="2"/>
      <c r="Q137" s="2"/>
      <c r="R137" s="2"/>
      <c r="S137" s="2"/>
      <c r="T137" s="2"/>
      <c r="U137" s="4"/>
    </row>
    <row r="138" spans="2:25" ht="15" customHeight="1" x14ac:dyDescent="0.3">
      <c r="B138" s="1"/>
      <c r="C138" s="301"/>
      <c r="D138" s="307" t="s">
        <v>203</v>
      </c>
      <c r="E138" s="307"/>
      <c r="F138" s="307"/>
      <c r="G138" s="307"/>
      <c r="H138" s="307"/>
      <c r="I138" s="307"/>
      <c r="K138" s="308" t="s">
        <v>206</v>
      </c>
      <c r="L138" s="308"/>
      <c r="M138" s="308"/>
      <c r="N138" s="308"/>
      <c r="P138" s="308" t="s">
        <v>120</v>
      </c>
      <c r="Q138" s="308"/>
      <c r="R138" s="308"/>
      <c r="S138" s="308"/>
      <c r="U138" s="4"/>
    </row>
    <row r="139" spans="2:25" ht="15" customHeight="1" x14ac:dyDescent="0.3">
      <c r="B139" s="1"/>
      <c r="C139" s="301"/>
      <c r="D139" s="2"/>
      <c r="E139" s="119" t="s">
        <v>55</v>
      </c>
      <c r="F139" s="118" t="s">
        <v>57</v>
      </c>
      <c r="G139" s="118" t="s">
        <v>58</v>
      </c>
      <c r="H139" s="324" t="s">
        <v>65</v>
      </c>
      <c r="I139" s="324"/>
      <c r="J139" s="2"/>
      <c r="K139" s="2" t="s">
        <v>236</v>
      </c>
      <c r="L139" s="2"/>
      <c r="M139" s="17">
        <f>COUNTIF(M126:O132,"Round 3")</f>
        <v>0</v>
      </c>
      <c r="N139" s="32"/>
      <c r="O139" s="2"/>
      <c r="P139" s="26"/>
      <c r="Q139" s="152" t="s">
        <v>55</v>
      </c>
      <c r="R139" s="151" t="s">
        <v>57</v>
      </c>
      <c r="S139" s="151" t="s">
        <v>58</v>
      </c>
      <c r="U139" s="4"/>
    </row>
    <row r="140" spans="2:25" ht="15" customHeight="1" x14ac:dyDescent="0.3">
      <c r="B140" s="1"/>
      <c r="C140" s="301"/>
      <c r="D140" s="2" t="s">
        <v>0</v>
      </c>
      <c r="E140" s="30">
        <f>F140+G140+I140</f>
        <v>0</v>
      </c>
      <c r="F140" s="30">
        <f>IFERROR((SUMPRODUCT(H126:H133,$G$24:$G$31)*F149*F158*F160),SUMPRODUCT(H126:H133,$G$24:$G$31))</f>
        <v>0</v>
      </c>
      <c r="G140" s="17">
        <f>IFERROR((SUMPRODUCT(L126:L133,$G$24:$G$31)*F149*F156*F158*F160),SUMPRODUCT(L126:L133,$G$24:$G$31))</f>
        <v>0</v>
      </c>
      <c r="H140" s="2" t="s">
        <v>60</v>
      </c>
      <c r="I140" s="17">
        <f>IF(SUM(L126:L128,H126:H128)=0,0,IF(SUM(L126:L128,H126:H128)&gt;SUM(H130,L130),SUM(H130,L130),IF(SUM(H126:H128,L126:L128)&lt;=SUM(H130,L130),SUM(H126:H128,L126:L128))))</f>
        <v>0</v>
      </c>
      <c r="J140" s="2"/>
      <c r="K140" s="2" t="s">
        <v>71</v>
      </c>
      <c r="L140" s="2"/>
      <c r="M140" s="17">
        <f>Y133</f>
        <v>0</v>
      </c>
      <c r="N140" s="32"/>
      <c r="O140" s="2"/>
      <c r="P140" s="2" t="s">
        <v>115</v>
      </c>
      <c r="Q140" s="172">
        <f>R140+S140</f>
        <v>0</v>
      </c>
      <c r="R140" s="171">
        <f>SUMPRODUCT($E$24:$E$31,E126:E133)</f>
        <v>0</v>
      </c>
      <c r="S140" s="172">
        <f>SUMPRODUCT($E$24:$E$31,I126:I133)</f>
        <v>0</v>
      </c>
      <c r="U140" s="4"/>
    </row>
    <row r="141" spans="2:25" ht="15" customHeight="1" x14ac:dyDescent="0.3">
      <c r="B141" s="1"/>
      <c r="C141" s="301"/>
      <c r="D141" s="2" t="s">
        <v>56</v>
      </c>
      <c r="E141" s="30">
        <f>F141+G141+I141</f>
        <v>0</v>
      </c>
      <c r="F141" s="30">
        <f>IFERROR((SUMPRODUCT(H126:H133,$H$24:$H$31)*F149*F158*F160),SUMPRODUCT(H126:H133,$H$24:$H$31))</f>
        <v>0</v>
      </c>
      <c r="G141" s="17">
        <f>IFERROR((SUMPRODUCT(L126:L133,$H$24:$H$31)*F149*F156*F158*F160),SUMPRODUCT(L126:L133,$H$24:$H$31))</f>
        <v>0</v>
      </c>
      <c r="H141" s="2" t="s">
        <v>59</v>
      </c>
      <c r="I141" s="17">
        <f>IF(SUM(L126:L128,H126:H128)=0,0,IF(SUM(L126:L128,H126:H128)&gt;SUM(H129,L129),SUM(H129,L129),IF(SUM(H126:H128,L126:L128)&lt;=SUM(H129,L129),SUM(H126:H128,L126:L128))))</f>
        <v>0</v>
      </c>
      <c r="J141" s="2"/>
      <c r="K141" s="2" t="s">
        <v>72</v>
      </c>
      <c r="L141" s="2"/>
      <c r="M141" s="17" t="e">
        <f>INDEX(Lists_Parameters!$D$54:$G$74,MATCH(M139,Lists_Parameters!$B$54:$B$74,0),MATCH('Wargame Calculator'!F148,Lists_Parameters!$D$53:$G$53,0))</f>
        <v>#N/A</v>
      </c>
      <c r="N141" s="32"/>
      <c r="O141" s="2"/>
      <c r="P141" s="2" t="s">
        <v>470</v>
      </c>
      <c r="Q141" s="172">
        <f>R141+S141</f>
        <v>0</v>
      </c>
      <c r="R141" s="281">
        <f>SUMPRODUCT($H$126:$H$133,Lists_Parameters!$M$51:$M$58)*'Wargame Calculator'!$N$117+SUMPRODUCT($H$126:$H$133,Lists_Parameters!$N$51:$N$58)*'Wargame Calculator'!$N$118+SUMPRODUCT($H$126:$H$133,Lists_Parameters!$O$51:$O$58)*'Wargame Calculator'!$N$119+SUMPRODUCT($H$126:$H$133,Lists_Parameters!$P$51:$P$58)*'Wargame Calculator'!$N$120</f>
        <v>0</v>
      </c>
      <c r="S141" s="172">
        <f>(SUMPRODUCT($L$126:$L$133,Lists_Parameters!$M$51:$M$58)*'Wargame Calculator'!$N$117+SUMPRODUCT($L$126:$L$133,Lists_Parameters!$N$51:$N$58)*'Wargame Calculator'!$N$118+SUMPRODUCT($L$126:$L$133,Lists_Parameters!$O$51:$O$58)*'Wargame Calculator'!$N$119+SUMPRODUCT($L$126:$L$133,Lists_Parameters!$P$51:$P$58)*'Wargame Calculator'!$N$120)*Lists_Parameters!$D$3</f>
        <v>0</v>
      </c>
      <c r="U141" s="4"/>
    </row>
    <row r="142" spans="2:25" ht="15" customHeight="1" x14ac:dyDescent="0.3">
      <c r="B142" s="1"/>
      <c r="C142" s="301"/>
      <c r="D142" s="2" t="s">
        <v>61</v>
      </c>
      <c r="E142" s="30">
        <f t="shared" ref="E142" si="42">SUM(F142:G142)</f>
        <v>0</v>
      </c>
      <c r="F142" s="17">
        <f>H133*Lists_Parameters!$F$9</f>
        <v>0</v>
      </c>
      <c r="G142" s="17">
        <f>IFERROR((L133*Lists_Parameters!$F$9*F156),L133*Lists_Parameters!$F$9)</f>
        <v>0</v>
      </c>
      <c r="H142" s="2"/>
      <c r="I142" s="32"/>
      <c r="J142" s="2"/>
      <c r="K142" s="2" t="s">
        <v>73</v>
      </c>
      <c r="L142" s="17" t="e">
        <f>(VLOOKUP(M139,Lists_Parameters!$B$54:$C$74,2,FALSE))*W133</f>
        <v>#N/A</v>
      </c>
      <c r="M142" s="2" t="s">
        <v>74</v>
      </c>
      <c r="N142" s="17" t="e">
        <f>IF(L143&gt;=M141,0,ROUNDUP((L142*(1+VLOOKUP((M141-L143),Lists_Parameters!$I$47:$J$55,2,FALSE))),0))</f>
        <v>#N/A</v>
      </c>
      <c r="O142" s="2"/>
      <c r="P142" s="2" t="s">
        <v>62</v>
      </c>
      <c r="Q142" s="172">
        <f>SUM(R142:S142)</f>
        <v>0</v>
      </c>
      <c r="R142" s="171">
        <f>SUMPRODUCT($F$24:$F$31,F126:F133)*Lists_Parameters!$D$7</f>
        <v>0</v>
      </c>
      <c r="S142" s="172">
        <f>SUMPRODUCT($F$24:$F$31,J126:J133)*Lists_Parameters!$D$7</f>
        <v>0</v>
      </c>
      <c r="U142" s="4"/>
    </row>
    <row r="143" spans="2:25" ht="15" customHeight="1" x14ac:dyDescent="0.3">
      <c r="B143" s="1"/>
      <c r="C143" s="301"/>
      <c r="D143" s="2" t="s">
        <v>181</v>
      </c>
      <c r="E143" s="17">
        <f>IFERROR((SUM(F143:G143)+P151),SUM(F143:G143))</f>
        <v>0</v>
      </c>
      <c r="F143" s="30">
        <f>SUMPRODUCT(H126:H133,$I$24:$I$31)</f>
        <v>0</v>
      </c>
      <c r="G143" s="30">
        <f>SUMPRODUCT(L126:L133,$I$24:$I$31)</f>
        <v>0</v>
      </c>
      <c r="H143" s="2"/>
      <c r="I143" s="2"/>
      <c r="J143" s="2"/>
      <c r="K143" s="2" t="s">
        <v>46</v>
      </c>
      <c r="L143" s="112"/>
      <c r="M143" s="2" t="s">
        <v>76</v>
      </c>
      <c r="N143" s="78">
        <f>IF(M139=0,0,IF(L143&gt;=M141,L142,IF(O136=Lists_Parameters!$L$13,'Wargame Calculator'!L142*0.5,'Wargame Calculator'!N142)))</f>
        <v>0</v>
      </c>
      <c r="O143" s="2"/>
      <c r="P143" s="2"/>
      <c r="Q143" s="2"/>
      <c r="R143" s="2"/>
      <c r="S143" s="2"/>
      <c r="U143" s="4"/>
    </row>
    <row r="144" spans="2:25" ht="15" customHeight="1" x14ac:dyDescent="0.3">
      <c r="B144" s="1"/>
      <c r="C144" s="301"/>
      <c r="D144" s="32" t="s">
        <v>196</v>
      </c>
      <c r="E144" s="2"/>
      <c r="F144" s="25"/>
      <c r="G144" s="2"/>
      <c r="H144" s="2"/>
      <c r="I144" s="2"/>
      <c r="J144" s="2"/>
      <c r="K144" s="2"/>
      <c r="L144" s="2"/>
      <c r="M144" s="2"/>
      <c r="N144" s="2"/>
      <c r="O144" s="2"/>
      <c r="P144" s="2" t="s">
        <v>108</v>
      </c>
      <c r="Q144" s="79">
        <f>I120+N143+SUM(Q140:Q142)</f>
        <v>0</v>
      </c>
      <c r="R144" s="2"/>
      <c r="S144" s="2"/>
      <c r="U144" s="4"/>
    </row>
    <row r="145" spans="2:22" ht="15" customHeight="1" x14ac:dyDescent="0.3">
      <c r="B145" s="1"/>
      <c r="C145" s="301"/>
      <c r="D145" s="2"/>
      <c r="E145" s="2"/>
      <c r="F145" s="25"/>
      <c r="G145" s="2"/>
      <c r="H145" s="2"/>
      <c r="I145" s="2"/>
      <c r="J145" s="2"/>
      <c r="K145" s="2"/>
      <c r="L145" s="2"/>
      <c r="M145" s="2"/>
      <c r="N145" s="2"/>
      <c r="O145" s="2"/>
      <c r="P145" s="2"/>
      <c r="Q145" s="2" t="s">
        <v>109</v>
      </c>
      <c r="R145" s="2"/>
      <c r="S145" s="2"/>
      <c r="U145" s="4"/>
    </row>
    <row r="146" spans="2:22" ht="15" customHeight="1" x14ac:dyDescent="0.3">
      <c r="B146" s="1"/>
      <c r="C146" s="301"/>
      <c r="D146" s="307" t="s">
        <v>265</v>
      </c>
      <c r="E146" s="307"/>
      <c r="F146" s="307"/>
      <c r="G146" s="307"/>
      <c r="H146" s="307"/>
      <c r="I146" s="307"/>
      <c r="J146" s="307"/>
      <c r="K146" s="307"/>
      <c r="L146" s="307"/>
      <c r="M146" s="307"/>
      <c r="N146" s="307"/>
      <c r="O146" s="307"/>
      <c r="P146" s="307"/>
      <c r="Q146" s="307"/>
      <c r="R146" s="307"/>
      <c r="S146" s="307"/>
      <c r="T146" s="307"/>
      <c r="U146" s="4"/>
    </row>
    <row r="147" spans="2:22" s="22" customFormat="1" ht="15" customHeight="1" x14ac:dyDescent="0.3">
      <c r="B147" s="130"/>
      <c r="C147" s="301"/>
      <c r="D147" s="305" t="s">
        <v>124</v>
      </c>
      <c r="E147" s="305"/>
      <c r="F147" s="305"/>
      <c r="G147" s="105"/>
      <c r="H147" s="317" t="s">
        <v>200</v>
      </c>
      <c r="I147" s="317"/>
      <c r="J147" s="105"/>
      <c r="K147" s="105"/>
      <c r="L147" s="305" t="s">
        <v>123</v>
      </c>
      <c r="M147" s="305"/>
      <c r="N147" s="305"/>
      <c r="O147" s="305"/>
      <c r="Q147" s="160"/>
      <c r="R147" s="160"/>
      <c r="S147" s="160"/>
      <c r="T147" s="160"/>
      <c r="U147" s="4"/>
      <c r="V147"/>
    </row>
    <row r="148" spans="2:22" ht="15" customHeight="1" x14ac:dyDescent="0.3">
      <c r="B148" s="1"/>
      <c r="C148" s="301"/>
      <c r="D148" s="127" t="s">
        <v>189</v>
      </c>
      <c r="E148" s="105"/>
      <c r="F148" s="17">
        <f>IF(E117="",F97,IF(I118&gt;=I117,E117,IF(E120="Yes",IF(I119&gt;=I117,E117,F97),F97)))</f>
        <v>1</v>
      </c>
      <c r="G148" s="2"/>
      <c r="H148" s="2" t="s">
        <v>68</v>
      </c>
      <c r="I148" s="172" t="e">
        <f ca="1">SUM(I149:I150)</f>
        <v>#N/A</v>
      </c>
      <c r="J148" s="2"/>
      <c r="L148" s="315" t="s">
        <v>118</v>
      </c>
      <c r="M148" s="309"/>
      <c r="N148" s="310"/>
      <c r="O148" s="2" t="s">
        <v>55</v>
      </c>
      <c r="P148" s="17" t="e">
        <f>SUM(P149:P150)</f>
        <v>#N/A</v>
      </c>
      <c r="T148" s="2"/>
      <c r="U148" s="4"/>
    </row>
    <row r="149" spans="2:22" ht="15" customHeight="1" x14ac:dyDescent="0.3">
      <c r="B149" s="1"/>
      <c r="C149" s="301"/>
      <c r="D149" s="2" t="s">
        <v>190</v>
      </c>
      <c r="E149" s="2"/>
      <c r="F149" s="28" t="e">
        <f>IF(F148=P152,1,IF(F148&gt;P152,VLOOKUP(F148-P152,Lists_Parameters!$O$36:$Q$38,3,FALSE),VLOOKUP('Wargame Calculator'!P152-'Wargame Calculator'!F148,Lists_Parameters!$O$36:$Q$38,2,FALSE)))</f>
        <v>#N/A</v>
      </c>
      <c r="G149" s="2"/>
      <c r="H149" s="2" t="s">
        <v>66</v>
      </c>
      <c r="I149" s="172" t="e">
        <f ca="1">IF(F151=Lists_Parameters!$L$13,(((F156*G140)+F140+I140)*F149*F158*N121),(((F156*G140)+F140+I140)*F149*F158*N121)*Lists_Parameters!$D$5)</f>
        <v>#N/A</v>
      </c>
      <c r="J149" s="2"/>
      <c r="L149" s="315"/>
      <c r="M149" s="311"/>
      <c r="N149" s="312"/>
      <c r="O149" s="2" t="s">
        <v>0</v>
      </c>
      <c r="P149" s="17" t="e">
        <f>INDEX('Crisis Scenario Data'!$N$50:$S$53,1,MATCH('Wargame Calculator'!M148,'Crisis Scenario Data'!$N$49:$S$49,0))</f>
        <v>#N/A</v>
      </c>
      <c r="T149" s="2"/>
      <c r="U149" s="4"/>
    </row>
    <row r="150" spans="2:22" ht="15" customHeight="1" x14ac:dyDescent="0.3">
      <c r="B150" s="1"/>
      <c r="C150" s="301"/>
      <c r="D150" s="2"/>
      <c r="E150" s="2"/>
      <c r="F150" s="27"/>
      <c r="G150" s="2"/>
      <c r="H150" s="2" t="s">
        <v>67</v>
      </c>
      <c r="I150" s="172" t="e">
        <f ca="1">IF(F151=Lists_Parameters!$L$13,(((F156*G141)+F141+I141)*F149*F158*N121),(((F156*G141)+F141+I141)*F149*F158*N121)*Lists_Parameters!$D$5)</f>
        <v>#N/A</v>
      </c>
      <c r="J150" s="2"/>
      <c r="L150" s="315"/>
      <c r="M150" s="313"/>
      <c r="N150" s="314"/>
      <c r="O150" s="2" t="s">
        <v>1</v>
      </c>
      <c r="P150" s="17" t="e">
        <f>INDEX('Crisis Scenario Data'!$N$50:$S$53,2,MATCH('Wargame Calculator'!M148,'Crisis Scenario Data'!$N$49:$S$49,0))</f>
        <v>#N/A</v>
      </c>
      <c r="T150" s="2"/>
      <c r="U150" s="4"/>
    </row>
    <row r="151" spans="2:22" ht="15" customHeight="1" x14ac:dyDescent="0.3">
      <c r="B151" s="1"/>
      <c r="C151" s="301"/>
      <c r="D151" s="2" t="s">
        <v>107</v>
      </c>
      <c r="E151" s="2"/>
      <c r="F151" s="29" t="e">
        <f ca="1">'Meet Priority Force Reqt'!H4</f>
        <v>#N/A</v>
      </c>
      <c r="G151" s="2"/>
      <c r="H151" s="25" t="s">
        <v>476</v>
      </c>
      <c r="I151" s="2"/>
      <c r="J151" s="2"/>
      <c r="K151" s="2"/>
      <c r="L151" s="2"/>
      <c r="M151" s="2"/>
      <c r="N151" s="2"/>
      <c r="O151" s="2" t="s">
        <v>96</v>
      </c>
      <c r="P151" s="17" t="e">
        <f>INDEX('Crisis Scenario Data'!$N$50:$S$53,3,MATCH('Wargame Calculator'!M148,'Crisis Scenario Data'!$N$49:$S$49,0))</f>
        <v>#N/A</v>
      </c>
      <c r="Q151" s="2"/>
      <c r="T151" s="2"/>
      <c r="U151" s="4"/>
    </row>
    <row r="152" spans="2:22" ht="15" customHeight="1" x14ac:dyDescent="0.3">
      <c r="B152" s="1"/>
      <c r="C152" s="301"/>
      <c r="D152" s="128" t="s">
        <v>183</v>
      </c>
      <c r="E152" s="2"/>
      <c r="F152" s="25"/>
      <c r="G152" s="2"/>
      <c r="H152" s="32" t="s">
        <v>480</v>
      </c>
      <c r="I152" s="2"/>
      <c r="J152" s="2"/>
      <c r="K152" s="2"/>
      <c r="L152" s="2"/>
      <c r="M152" s="2"/>
      <c r="N152" s="2"/>
      <c r="O152" s="2" t="s">
        <v>2</v>
      </c>
      <c r="P152" s="17" t="e">
        <f>INDEX('Crisis Scenario Data'!$N$50:$S$53,4,MATCH('Wargame Calculator'!M148,'Crisis Scenario Data'!$N$49:$S$49,0))</f>
        <v>#N/A</v>
      </c>
      <c r="Q152" s="2"/>
      <c r="T152" s="2"/>
      <c r="U152" s="4"/>
    </row>
    <row r="153" spans="2:22" ht="15" customHeight="1" x14ac:dyDescent="0.3">
      <c r="B153" s="1"/>
      <c r="C153" s="301"/>
      <c r="D153" s="32" t="s">
        <v>185</v>
      </c>
      <c r="E153" s="2"/>
      <c r="F153" s="2"/>
      <c r="G153" s="2"/>
      <c r="H153" s="2"/>
      <c r="I153" s="2"/>
      <c r="J153" s="2"/>
      <c r="K153" s="2"/>
      <c r="L153" s="2"/>
      <c r="M153" s="2"/>
      <c r="N153" s="2"/>
      <c r="T153" s="2"/>
      <c r="U153" s="4"/>
    </row>
    <row r="154" spans="2:22" ht="15" customHeight="1" x14ac:dyDescent="0.3">
      <c r="B154" s="1"/>
      <c r="C154" s="301"/>
      <c r="D154" s="32"/>
      <c r="E154" s="2"/>
      <c r="F154" s="2"/>
      <c r="G154" s="2"/>
      <c r="H154" s="2"/>
      <c r="I154" s="2"/>
      <c r="J154" s="2"/>
      <c r="K154" s="2"/>
      <c r="L154" s="2"/>
      <c r="N154" s="316" t="s">
        <v>212</v>
      </c>
      <c r="O154" s="316"/>
      <c r="P154" s="316"/>
      <c r="R154" s="326" t="s">
        <v>488</v>
      </c>
      <c r="S154" s="326"/>
      <c r="T154" s="2"/>
      <c r="U154" s="4"/>
    </row>
    <row r="155" spans="2:22" ht="15" customHeight="1" x14ac:dyDescent="0.3">
      <c r="B155" s="1"/>
      <c r="C155" s="301"/>
      <c r="D155" s="2" t="s">
        <v>97</v>
      </c>
      <c r="E155" s="2"/>
      <c r="F155" s="111"/>
      <c r="G155" s="2"/>
      <c r="H155" s="2"/>
      <c r="I155" s="2"/>
      <c r="J155" s="2"/>
      <c r="K155" s="2"/>
      <c r="L155" s="2"/>
      <c r="N155" s="2" t="s">
        <v>119</v>
      </c>
      <c r="O155" s="2"/>
      <c r="P155" s="125" t="e">
        <f ca="1">IF((I148/P148)&gt;1,1,I148/P148)</f>
        <v>#N/A</v>
      </c>
      <c r="R155" t="s">
        <v>487</v>
      </c>
      <c r="S155" t="e">
        <f ca="1">P57+P108+P159</f>
        <v>#N/A</v>
      </c>
      <c r="T155" s="120"/>
      <c r="U155" s="4"/>
    </row>
    <row r="156" spans="2:22" ht="15" customHeight="1" x14ac:dyDescent="0.3">
      <c r="B156" s="1"/>
      <c r="C156" s="301"/>
      <c r="D156" s="2" t="s">
        <v>98</v>
      </c>
      <c r="E156" s="2"/>
      <c r="F156" s="175" t="e">
        <f>VLOOKUP(F155,Lists_Parameters!$L$36:$M$46,2,FALSE)</f>
        <v>#N/A</v>
      </c>
      <c r="G156" s="2"/>
      <c r="H156" s="2"/>
      <c r="I156" s="2"/>
      <c r="J156" s="2"/>
      <c r="K156" s="2"/>
      <c r="L156" s="2"/>
      <c r="N156" s="2" t="s">
        <v>69</v>
      </c>
      <c r="O156" s="2"/>
      <c r="P156" s="17" t="e">
        <f ca="1">VLOOKUP(P155,Lists_Parameters!$B$19:$C$31,2,TRUE)</f>
        <v>#N/A</v>
      </c>
      <c r="R156" s="225" t="s">
        <v>489</v>
      </c>
      <c r="S156" s="295" t="e">
        <f ca="1">AVERAGE(I46,I97,I148)</f>
        <v>#N/A</v>
      </c>
      <c r="T156" s="2"/>
      <c r="U156" s="4"/>
    </row>
    <row r="157" spans="2:22" ht="15" customHeight="1" thickBot="1" x14ac:dyDescent="0.35">
      <c r="B157" s="1"/>
      <c r="C157" s="301"/>
      <c r="D157" s="2"/>
      <c r="E157" s="2"/>
      <c r="F157" s="176"/>
      <c r="G157" s="2"/>
      <c r="H157" s="2"/>
      <c r="I157" s="2"/>
      <c r="J157" s="2"/>
      <c r="K157" s="2"/>
      <c r="L157" s="2"/>
      <c r="N157" s="2" t="s">
        <v>152</v>
      </c>
      <c r="O157" s="2"/>
      <c r="P157" s="111"/>
      <c r="T157" s="2"/>
      <c r="U157" s="4"/>
    </row>
    <row r="158" spans="2:22" ht="15" customHeight="1" thickBot="1" x14ac:dyDescent="0.35">
      <c r="B158" s="1"/>
      <c r="C158" s="301"/>
      <c r="D158" s="2" t="s">
        <v>99</v>
      </c>
      <c r="E158" s="2"/>
      <c r="F158" s="175" t="e">
        <f>IF((F142+(G142*F156))/((F143+(F156*G143))+P151)&gt;1,1,(F142+(G142*F156))/(F143+(F156*G143)+P151))</f>
        <v>#N/A</v>
      </c>
      <c r="G158" s="2"/>
      <c r="H158" s="2"/>
      <c r="I158" s="2"/>
      <c r="J158" s="2"/>
      <c r="K158" s="2"/>
      <c r="L158" s="2"/>
      <c r="N158" s="2" t="s">
        <v>486</v>
      </c>
      <c r="O158" s="2"/>
      <c r="P158" s="277" t="e">
        <f ca="1">IF(P157&lt;P156,VLOOKUP((P156-P157),Lists_Parameters!$Q$61:$S$71,3,FALSE),0)</f>
        <v>#N/A</v>
      </c>
      <c r="T158" s="2"/>
      <c r="U158" s="4"/>
    </row>
    <row r="159" spans="2:22" ht="15" customHeight="1" x14ac:dyDescent="0.3">
      <c r="B159" s="1"/>
      <c r="C159" s="301"/>
      <c r="D159" s="2"/>
      <c r="E159" s="2"/>
      <c r="F159" s="176"/>
      <c r="G159" s="2"/>
      <c r="H159" s="2"/>
      <c r="I159" s="2"/>
      <c r="J159" s="2"/>
      <c r="K159" s="2"/>
      <c r="L159" s="2"/>
      <c r="N159" s="2" t="s">
        <v>102</v>
      </c>
      <c r="O159" s="2"/>
      <c r="P159" s="28" t="e">
        <f ca="1">IF(P156&gt;P157,(VLOOKUP(P155,Lists_Parameters!$B$19:$D$31,3)*'Wargame Calculator'!P148)+(P149-I150),VLOOKUP(P155,Lists_Parameters!$B$19:$D$31,3)*'Wargame Calculator'!P148)</f>
        <v>#N/A</v>
      </c>
      <c r="T159" s="2"/>
      <c r="U159" s="4"/>
    </row>
    <row r="160" spans="2:22" ht="15" customHeight="1" x14ac:dyDescent="0.3">
      <c r="B160" s="1"/>
      <c r="C160" s="301"/>
      <c r="D160" s="32" t="s">
        <v>191</v>
      </c>
      <c r="E160" s="2"/>
      <c r="F160" s="175" t="e">
        <f>N121</f>
        <v>#DIV/0!</v>
      </c>
      <c r="G160" s="2"/>
      <c r="H160" s="2"/>
      <c r="I160" s="2"/>
      <c r="J160" s="2"/>
      <c r="K160" s="2"/>
      <c r="L160" s="2"/>
      <c r="N160" s="32" t="s">
        <v>184</v>
      </c>
      <c r="T160" s="2"/>
      <c r="U160" s="4"/>
    </row>
    <row r="161" spans="2:21" ht="15" customHeight="1" x14ac:dyDescent="0.3">
      <c r="B161" s="1"/>
      <c r="C161" s="301"/>
      <c r="D161" s="32"/>
      <c r="E161" s="2"/>
      <c r="F161" s="163"/>
      <c r="G161" s="2"/>
      <c r="H161" s="2"/>
      <c r="I161" s="2"/>
      <c r="J161" s="2"/>
      <c r="K161" s="2"/>
      <c r="L161" s="2"/>
      <c r="N161" s="162"/>
      <c r="O161" s="2"/>
      <c r="P161" s="32"/>
      <c r="T161" s="2"/>
      <c r="U161" s="4"/>
    </row>
    <row r="162" spans="2:21" ht="15" customHeight="1" thickBot="1" x14ac:dyDescent="0.35">
      <c r="B162" s="5"/>
      <c r="C162" s="302"/>
      <c r="D162" s="88"/>
      <c r="E162" s="88"/>
      <c r="F162" s="88"/>
      <c r="G162" s="88"/>
      <c r="H162" s="88"/>
      <c r="I162" s="88"/>
      <c r="J162" s="88"/>
      <c r="K162" s="88"/>
      <c r="L162" s="88"/>
      <c r="M162" s="88"/>
      <c r="N162" s="88"/>
      <c r="O162" s="88"/>
      <c r="P162" s="88"/>
      <c r="Q162" s="161"/>
      <c r="R162" s="88"/>
      <c r="S162" s="88"/>
      <c r="T162" s="88"/>
      <c r="U162" s="6"/>
    </row>
    <row r="163" spans="2:21" hidden="1" x14ac:dyDescent="0.3"/>
    <row r="164" spans="2:21" hidden="1" x14ac:dyDescent="0.3"/>
    <row r="165" spans="2:21" hidden="1" x14ac:dyDescent="0.3"/>
    <row r="166" spans="2:21" hidden="1" x14ac:dyDescent="0.3"/>
    <row r="167" spans="2:21" hidden="1" x14ac:dyDescent="0.3"/>
    <row r="168" spans="2:21" hidden="1" x14ac:dyDescent="0.3"/>
    <row r="169" spans="2:21" hidden="1" x14ac:dyDescent="0.3"/>
    <row r="170" spans="2:21" hidden="1" x14ac:dyDescent="0.3"/>
    <row r="171" spans="2:21" hidden="1" x14ac:dyDescent="0.3"/>
    <row r="172" spans="2:21" hidden="1" x14ac:dyDescent="0.3"/>
    <row r="173" spans="2:21" hidden="1" x14ac:dyDescent="0.3"/>
    <row r="174" spans="2:21" hidden="1" x14ac:dyDescent="0.3"/>
    <row r="175" spans="2:21" hidden="1" x14ac:dyDescent="0.3"/>
    <row r="176" spans="2:21"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sheetData>
  <sheetProtection sheet="1" objects="1" scenarios="1" selectLockedCells="1"/>
  <dataConsolidate/>
  <mergeCells count="68">
    <mergeCell ref="P138:S138"/>
    <mergeCell ref="D138:I138"/>
    <mergeCell ref="M134:O135"/>
    <mergeCell ref="K138:N138"/>
    <mergeCell ref="D96:F96"/>
    <mergeCell ref="L115:R115"/>
    <mergeCell ref="M97:N99"/>
    <mergeCell ref="N103:P103"/>
    <mergeCell ref="L97:L99"/>
    <mergeCell ref="M124:O124"/>
    <mergeCell ref="E123:T123"/>
    <mergeCell ref="D115:J115"/>
    <mergeCell ref="D113:T113"/>
    <mergeCell ref="E124:H124"/>
    <mergeCell ref="I124:L124"/>
    <mergeCell ref="Q124:T124"/>
    <mergeCell ref="N154:P154"/>
    <mergeCell ref="L148:L150"/>
    <mergeCell ref="H139:I139"/>
    <mergeCell ref="D146:T146"/>
    <mergeCell ref="D147:F147"/>
    <mergeCell ref="H147:I147"/>
    <mergeCell ref="M148:N150"/>
    <mergeCell ref="L147:O147"/>
    <mergeCell ref="R154:S154"/>
    <mergeCell ref="P87:S87"/>
    <mergeCell ref="I73:L73"/>
    <mergeCell ref="E72:T72"/>
    <mergeCell ref="H88:I88"/>
    <mergeCell ref="D95:T95"/>
    <mergeCell ref="D87:I87"/>
    <mergeCell ref="H96:I96"/>
    <mergeCell ref="D2:T2"/>
    <mergeCell ref="D64:J64"/>
    <mergeCell ref="K87:N87"/>
    <mergeCell ref="E73:H73"/>
    <mergeCell ref="M73:O73"/>
    <mergeCell ref="M83:O84"/>
    <mergeCell ref="D45:F45"/>
    <mergeCell ref="D12:T12"/>
    <mergeCell ref="H45:I45"/>
    <mergeCell ref="D3:T3"/>
    <mergeCell ref="D44:T44"/>
    <mergeCell ref="P22:Q22"/>
    <mergeCell ref="E22:I22"/>
    <mergeCell ref="H37:I37"/>
    <mergeCell ref="R22:T22"/>
    <mergeCell ref="M46:N48"/>
    <mergeCell ref="L46:L48"/>
    <mergeCell ref="N52:P52"/>
    <mergeCell ref="Q73:T73"/>
    <mergeCell ref="L64:R64"/>
    <mergeCell ref="L14:R14"/>
    <mergeCell ref="C112:C162"/>
    <mergeCell ref="C4:T4"/>
    <mergeCell ref="C10:T10"/>
    <mergeCell ref="C11:C59"/>
    <mergeCell ref="C60:T60"/>
    <mergeCell ref="C61:C110"/>
    <mergeCell ref="C111:T111"/>
    <mergeCell ref="L96:O96"/>
    <mergeCell ref="D62:T62"/>
    <mergeCell ref="D14:J14"/>
    <mergeCell ref="D36:I36"/>
    <mergeCell ref="K22:N22"/>
    <mergeCell ref="K36:N36"/>
    <mergeCell ref="P36:S36"/>
    <mergeCell ref="L45:O45"/>
  </mergeCells>
  <conditionalFormatting sqref="M75:O81">
    <cfRule type="containsText" dxfId="4" priority="8" operator="containsText" text="Round 1">
      <formula>NOT(ISERROR(SEARCH("Round 1",M75)))</formula>
    </cfRule>
  </conditionalFormatting>
  <conditionalFormatting sqref="M126:O132">
    <cfRule type="containsText" dxfId="3" priority="6" operator="containsText" text="Round 2">
      <formula>NOT(ISERROR(SEARCH("Round 2",M126)))</formula>
    </cfRule>
    <cfRule type="containsText" dxfId="2" priority="7" operator="containsText" text="Round 1">
      <formula>NOT(ISERROR(SEARCH("Round 1",M126)))</formula>
    </cfRule>
  </conditionalFormatting>
  <conditionalFormatting sqref="E7:G7">
    <cfRule type="cellIs" priority="1" operator="equal">
      <formula>0</formula>
    </cfRule>
    <cfRule type="cellIs" dxfId="1" priority="2" operator="greaterThan">
      <formula>0</formula>
    </cfRule>
    <cfRule type="cellIs" dxfId="0" priority="5" operator="lessThan">
      <formula>0</formula>
    </cfRule>
  </conditionalFormatting>
  <dataValidations count="10">
    <dataValidation type="list" allowBlank="1" showInputMessage="1" showErrorMessage="1" sqref="R24:U30">
      <formula1>Round_1</formula1>
    </dataValidation>
    <dataValidation type="list" allowBlank="1" showInputMessage="1" showErrorMessage="1" sqref="E118">
      <formula1>INDIRECT($E$119)</formula1>
    </dataValidation>
    <dataValidation type="list" allowBlank="1" showInputMessage="1" showErrorMessage="1" sqref="O136 T33 E19 O85 E69 E120">
      <formula1>Yes_No</formula1>
    </dataValidation>
    <dataValidation type="list" allowBlank="1" showInputMessage="1" showErrorMessage="1" sqref="M46 M97 M148">
      <formula1>Scenario_Names</formula1>
    </dataValidation>
    <dataValidation type="list" allowBlank="1" showInputMessage="1" showErrorMessage="1" sqref="E16 E66 E117">
      <formula1>Target_Tech_Level</formula1>
    </dataValidation>
    <dataValidation type="list" allowBlank="1" showInputMessage="1" showErrorMessage="1" sqref="U75:U81 M75:O81">
      <formula1>Round_1_2</formula1>
    </dataValidation>
    <dataValidation type="list" allowBlank="1" showInputMessage="1" showErrorMessage="1" sqref="U126:U132 M126:O132">
      <formula1>Round_1_3</formula1>
    </dataValidation>
    <dataValidation type="list" allowBlank="1" showInputMessage="1" showErrorMessage="1" sqref="E17">
      <formula1>INDIRECT(Select_Expedite)</formula1>
    </dataValidation>
    <dataValidation type="list" allowBlank="1" showInputMessage="1" showErrorMessage="1" sqref="E67">
      <formula1>INDIRECT($E$68)</formula1>
    </dataValidation>
    <dataValidation type="decimal" allowBlank="1" showInputMessage="1" showErrorMessage="1" sqref="N16:N19">
      <formula1>0</formula1>
      <formula2>1</formula2>
    </dataValidation>
  </dataValidations>
  <printOptions headings="1"/>
  <pageMargins left="0.7" right="0.7" top="0.75" bottom="0.75" header="0.3" footer="0.3"/>
  <pageSetup scale="20" orientation="landscape"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20" sqref="D20"/>
    </sheetView>
  </sheetViews>
  <sheetFormatPr defaultRowHeight="14.4" x14ac:dyDescent="0.3"/>
  <cols>
    <col min="1" max="1" width="30.5546875" customWidth="1"/>
    <col min="2" max="2" width="22.88671875" bestFit="1" customWidth="1"/>
    <col min="3" max="3" width="30.109375" bestFit="1" customWidth="1"/>
    <col min="4" max="4" width="14.88671875" customWidth="1"/>
    <col min="7" max="7" width="34.6640625" bestFit="1" customWidth="1"/>
  </cols>
  <sheetData>
    <row r="1" spans="1:7" x14ac:dyDescent="0.3">
      <c r="A1" t="s">
        <v>431</v>
      </c>
    </row>
    <row r="9" spans="1:7" x14ac:dyDescent="0.3">
      <c r="B9" t="s">
        <v>444</v>
      </c>
      <c r="D9" t="s">
        <v>444</v>
      </c>
    </row>
    <row r="10" spans="1:7" x14ac:dyDescent="0.3">
      <c r="A10" t="s">
        <v>437</v>
      </c>
      <c r="C10" t="s">
        <v>438</v>
      </c>
      <c r="G10" s="22" t="s">
        <v>423</v>
      </c>
    </row>
    <row r="11" spans="1:7" x14ac:dyDescent="0.3">
      <c r="A11" t="s">
        <v>435</v>
      </c>
      <c r="C11" t="s">
        <v>432</v>
      </c>
      <c r="D11" s="274" t="s">
        <v>448</v>
      </c>
      <c r="G11" s="22" t="s">
        <v>424</v>
      </c>
    </row>
    <row r="12" spans="1:7" x14ac:dyDescent="0.3">
      <c r="A12" t="s">
        <v>434</v>
      </c>
      <c r="C12" t="s">
        <v>433</v>
      </c>
      <c r="D12" s="274" t="s">
        <v>449</v>
      </c>
      <c r="G12" s="2" t="s">
        <v>425</v>
      </c>
    </row>
    <row r="13" spans="1:7" x14ac:dyDescent="0.3">
      <c r="A13" t="s">
        <v>436</v>
      </c>
      <c r="B13" s="274" t="s">
        <v>451</v>
      </c>
      <c r="C13" t="s">
        <v>442</v>
      </c>
      <c r="D13" s="274" t="s">
        <v>449</v>
      </c>
      <c r="G13" s="22" t="s">
        <v>426</v>
      </c>
    </row>
    <row r="14" spans="1:7" x14ac:dyDescent="0.3">
      <c r="A14" t="s">
        <v>441</v>
      </c>
      <c r="B14" s="274" t="s">
        <v>446</v>
      </c>
      <c r="C14" t="s">
        <v>439</v>
      </c>
      <c r="D14" s="274" t="s">
        <v>447</v>
      </c>
    </row>
    <row r="15" spans="1:7" x14ac:dyDescent="0.3">
      <c r="C15" t="s">
        <v>440</v>
      </c>
      <c r="D15" s="274" t="s">
        <v>445</v>
      </c>
    </row>
    <row r="16" spans="1:7" x14ac:dyDescent="0.3">
      <c r="C16" t="s">
        <v>443</v>
      </c>
      <c r="D16" s="274" t="s">
        <v>448</v>
      </c>
    </row>
    <row r="20" spans="1:3" x14ac:dyDescent="0.3">
      <c r="A20" t="s">
        <v>435</v>
      </c>
    </row>
    <row r="21" spans="1:3" x14ac:dyDescent="0.3">
      <c r="A21" t="s">
        <v>452</v>
      </c>
    </row>
    <row r="24" spans="1:3" x14ac:dyDescent="0.3">
      <c r="C24" t="s">
        <v>432</v>
      </c>
    </row>
    <row r="25" spans="1:3" x14ac:dyDescent="0.3">
      <c r="A25" t="s">
        <v>453</v>
      </c>
      <c r="C25" t="s">
        <v>442</v>
      </c>
    </row>
    <row r="26" spans="1:3" x14ac:dyDescent="0.3">
      <c r="C26" t="s">
        <v>454</v>
      </c>
    </row>
    <row r="27" spans="1:3" x14ac:dyDescent="0.3">
      <c r="B27" t="s">
        <v>437</v>
      </c>
      <c r="C27" t="s">
        <v>438</v>
      </c>
    </row>
    <row r="28" spans="1:3" x14ac:dyDescent="0.3">
      <c r="A28" t="s">
        <v>455</v>
      </c>
      <c r="B28" s="274" t="s">
        <v>461</v>
      </c>
      <c r="C28" s="274" t="s">
        <v>447</v>
      </c>
    </row>
    <row r="29" spans="1:3" x14ac:dyDescent="0.3">
      <c r="A29" t="s">
        <v>459</v>
      </c>
      <c r="B29" s="274" t="s">
        <v>462</v>
      </c>
      <c r="C29" s="274" t="s">
        <v>449</v>
      </c>
    </row>
    <row r="30" spans="1:3" x14ac:dyDescent="0.3">
      <c r="A30" t="s">
        <v>456</v>
      </c>
      <c r="B30" s="274" t="s">
        <v>463</v>
      </c>
      <c r="C30" s="274" t="s">
        <v>464</v>
      </c>
    </row>
    <row r="31" spans="1:3" x14ac:dyDescent="0.3">
      <c r="A31" t="s">
        <v>457</v>
      </c>
      <c r="B31" s="274" t="s">
        <v>446</v>
      </c>
      <c r="C31" s="274" t="s">
        <v>445</v>
      </c>
    </row>
    <row r="32" spans="1:3" x14ac:dyDescent="0.3">
      <c r="A32" t="s">
        <v>458</v>
      </c>
      <c r="B32" s="274" t="s">
        <v>450</v>
      </c>
      <c r="C32" s="274" t="s">
        <v>467</v>
      </c>
    </row>
    <row r="33" spans="1:3" x14ac:dyDescent="0.3">
      <c r="A33" t="s">
        <v>460</v>
      </c>
      <c r="B33" s="274" t="s">
        <v>465</v>
      </c>
      <c r="C33" s="274" t="s">
        <v>466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27"/>
  <sheetViews>
    <sheetView workbookViewId="0">
      <selection activeCell="G18" sqref="G18"/>
    </sheetView>
  </sheetViews>
  <sheetFormatPr defaultRowHeight="14.4" x14ac:dyDescent="0.3"/>
  <cols>
    <col min="2" max="2" width="42.44140625" customWidth="1"/>
    <col min="3" max="3" width="12.44140625" bestFit="1" customWidth="1"/>
    <col min="4" max="4" width="17.88671875" bestFit="1" customWidth="1"/>
    <col min="5" max="6" width="10.109375" bestFit="1" customWidth="1"/>
    <col min="7" max="7" width="11.33203125" bestFit="1" customWidth="1"/>
    <col min="10" max="10" width="39.5546875" bestFit="1" customWidth="1"/>
    <col min="11" max="11" width="29.6640625" bestFit="1" customWidth="1"/>
  </cols>
  <sheetData>
    <row r="1" spans="1:14" x14ac:dyDescent="0.3">
      <c r="B1" t="s">
        <v>213</v>
      </c>
      <c r="C1" t="s">
        <v>214</v>
      </c>
      <c r="D1" t="s">
        <v>215</v>
      </c>
      <c r="E1" t="s">
        <v>222</v>
      </c>
      <c r="F1" t="s">
        <v>216</v>
      </c>
      <c r="G1" t="s">
        <v>217</v>
      </c>
      <c r="H1" t="s">
        <v>218</v>
      </c>
    </row>
    <row r="2" spans="1:14" x14ac:dyDescent="0.3">
      <c r="A2" t="s">
        <v>63</v>
      </c>
      <c r="B2">
        <f>'Wargame Calculator'!M46</f>
        <v>0</v>
      </c>
      <c r="C2" t="e">
        <f>INDEX($C$13:$C$18,MATCH('Wargame Calculator'!M46,$B$13:$B$18,0))</f>
        <v>#N/A</v>
      </c>
      <c r="D2" t="e">
        <f>INDEX($D$13:$D$18,MATCH('Wargame Calculator'!M46,$B$13:$B$18,0))</f>
        <v>#N/A</v>
      </c>
      <c r="E2" t="e">
        <f>INDEX($E$13:$E$18,MATCH('Wargame Calculator'!M46,$B$13:$B$18,0))</f>
        <v>#N/A</v>
      </c>
      <c r="F2" t="e">
        <f ca="1">OFFSET('Wargame Calculator'!P23,MATCH(C2,'Wargame Calculator'!$D$24:$D$31,0),0) + OFFSET('Wargame Calculator'!P23,MATCH(C2,'Wargame Calculator'!$D$24:$D$31,0),1)</f>
        <v>#N/A</v>
      </c>
      <c r="G2" t="e">
        <f ca="1">OFFSET('Wargame Calculator'!P23,MATCH(D2,'Wargame Calculator'!$D$24:$D$31,0),0) + OFFSET('Wargame Calculator'!P23,MATCH(D2,'Wargame Calculator'!$D$24:$D$31,0),1)</f>
        <v>#N/A</v>
      </c>
      <c r="H2" t="e">
        <f ca="1">IF(AND(F2&gt;0,G2&gt;0,F2+G2&gt;=E2),"Yes","No")</f>
        <v>#N/A</v>
      </c>
    </row>
    <row r="3" spans="1:14" x14ac:dyDescent="0.3">
      <c r="A3" t="s">
        <v>64</v>
      </c>
      <c r="B3">
        <f>'Wargame Calculator'!M97</f>
        <v>0</v>
      </c>
      <c r="C3" t="e">
        <f>INDEX($C$13:$C$18,MATCH('Wargame Calculator'!M97,$B$13:$B$18,0))</f>
        <v>#N/A</v>
      </c>
      <c r="D3" t="e">
        <f>INDEX($D$13:$D$18,MATCH('Wargame Calculator'!M97,$B$13:$B$18,0))</f>
        <v>#N/A</v>
      </c>
      <c r="E3" t="e">
        <f>INDEX($F$13:$F$18,MATCH('Wargame Calculator'!M97,$B$13:$B$18,0))</f>
        <v>#N/A</v>
      </c>
      <c r="F3" t="e">
        <f ca="1">OFFSET('Wargame Calculator'!H74,MATCH(C3,'Wargame Calculator'!$D$24:$D$31,0),0) + OFFSET('Wargame Calculator'!H74,MATCH(C3,'Wargame Calculator'!$D$24:$D$31,0),4)</f>
        <v>#N/A</v>
      </c>
      <c r="G3" t="e">
        <f ca="1">OFFSET('Wargame Calculator'!H74,MATCH(D3,'Wargame Calculator'!$D$24:$D$31,0),0) + OFFSET('Wargame Calculator'!H74,MATCH(D3,'Wargame Calculator'!$D$24:$D$31,0),4)</f>
        <v>#N/A</v>
      </c>
      <c r="H3" t="e">
        <f t="shared" ref="H3:H4" ca="1" si="0">IF(AND(F3&gt;0,G3&gt;0,F3+G3&gt;=E3),"Yes","No")</f>
        <v>#N/A</v>
      </c>
    </row>
    <row r="4" spans="1:14" x14ac:dyDescent="0.3">
      <c r="A4" t="s">
        <v>78</v>
      </c>
      <c r="B4">
        <f>'Wargame Calculator'!M148</f>
        <v>0</v>
      </c>
      <c r="C4" t="e">
        <f>INDEX($C$13:$C$18,MATCH('Wargame Calculator'!M148,$B$13:$B$18,0))</f>
        <v>#N/A</v>
      </c>
      <c r="D4" t="e">
        <f>INDEX($D$13:$D$18,MATCH('Wargame Calculator'!M148,$B$13:$B$18,0))</f>
        <v>#N/A</v>
      </c>
      <c r="E4" t="e">
        <f>INDEX($G$13:$G$18,MATCH('Wargame Calculator'!M148,$B$13:$B$18,0))</f>
        <v>#N/A</v>
      </c>
      <c r="F4" t="e">
        <f ca="1">OFFSET('Wargame Calculator'!H125,MATCH(C4,'Wargame Calculator'!$D$24:$D$31,0),0) + OFFSET('Wargame Calculator'!H125,MATCH(C4,'Wargame Calculator'!$D$24:$D$31,0),4)</f>
        <v>#N/A</v>
      </c>
      <c r="G4" t="e">
        <f ca="1">OFFSET('Wargame Calculator'!H125,MATCH(D4,'Wargame Calculator'!$D$24:$D$31,0),0) + OFFSET('Wargame Calculator'!H125,MATCH(D4,'Wargame Calculator'!$D$24:$D$31,0),4)</f>
        <v>#N/A</v>
      </c>
      <c r="H4" t="e">
        <f t="shared" ca="1" si="0"/>
        <v>#N/A</v>
      </c>
    </row>
    <row r="9" spans="1:14" ht="15" thickBot="1" x14ac:dyDescent="0.35"/>
    <row r="10" spans="1:14" ht="15" thickBot="1" x14ac:dyDescent="0.35">
      <c r="J10" s="329" t="s">
        <v>255</v>
      </c>
      <c r="K10" s="327"/>
      <c r="L10" s="327"/>
      <c r="M10" s="327"/>
      <c r="N10" s="328"/>
    </row>
    <row r="11" spans="1:14" x14ac:dyDescent="0.3">
      <c r="B11" s="326" t="s">
        <v>251</v>
      </c>
      <c r="C11" s="326"/>
      <c r="D11" s="326"/>
      <c r="E11" s="326"/>
      <c r="F11" s="326"/>
      <c r="G11" s="326"/>
      <c r="J11" s="129"/>
      <c r="K11" s="131"/>
      <c r="L11" s="327" t="s">
        <v>253</v>
      </c>
      <c r="M11" s="327"/>
      <c r="N11" s="328"/>
    </row>
    <row r="12" spans="1:14" x14ac:dyDescent="0.3">
      <c r="B12" t="s">
        <v>213</v>
      </c>
      <c r="C12" t="s">
        <v>214</v>
      </c>
      <c r="D12" t="s">
        <v>215</v>
      </c>
      <c r="E12" t="s">
        <v>219</v>
      </c>
      <c r="F12" t="s">
        <v>220</v>
      </c>
      <c r="G12" t="s">
        <v>221</v>
      </c>
      <c r="J12" s="186" t="s">
        <v>213</v>
      </c>
      <c r="K12" s="194" t="s">
        <v>250</v>
      </c>
      <c r="L12" s="194" t="s">
        <v>63</v>
      </c>
      <c r="M12" s="194" t="s">
        <v>64</v>
      </c>
      <c r="N12" s="195" t="s">
        <v>78</v>
      </c>
    </row>
    <row r="13" spans="1:14" x14ac:dyDescent="0.3">
      <c r="B13" t="str">
        <f>Lists_Parameters!M13</f>
        <v>Defensive Campaign (vs. Peer Competitor)</v>
      </c>
      <c r="C13" t="s">
        <v>9</v>
      </c>
      <c r="D13" t="s">
        <v>11</v>
      </c>
      <c r="E13">
        <f>C22+1</f>
        <v>3</v>
      </c>
      <c r="F13">
        <f>D22+2</f>
        <v>5</v>
      </c>
      <c r="G13">
        <f>E22+3</f>
        <v>7</v>
      </c>
      <c r="J13" s="212" t="str">
        <f t="shared" ref="J13:J18" si="1">B13</f>
        <v>Defensive Campaign (vs. Peer Competitor)</v>
      </c>
      <c r="K13" s="211" t="str">
        <f t="shared" ref="K13:K17" si="2">C13 &amp; ", " &amp; D13</f>
        <v>Stryker, Air Defense</v>
      </c>
      <c r="L13" s="216">
        <f t="shared" ref="L13:N18" si="3">E13</f>
        <v>3</v>
      </c>
      <c r="M13" s="216">
        <f t="shared" si="3"/>
        <v>5</v>
      </c>
      <c r="N13" s="217">
        <f t="shared" si="3"/>
        <v>7</v>
      </c>
    </row>
    <row r="14" spans="1:14" x14ac:dyDescent="0.3">
      <c r="B14" t="str">
        <f>Lists_Parameters!M14</f>
        <v>Humanitarian Crisis</v>
      </c>
      <c r="C14" t="s">
        <v>10</v>
      </c>
      <c r="D14" t="s">
        <v>8</v>
      </c>
      <c r="E14">
        <f t="shared" ref="E14:E18" si="4">C23+1</f>
        <v>3</v>
      </c>
      <c r="F14">
        <f t="shared" ref="F14:F18" si="5">D23+2</f>
        <v>5</v>
      </c>
      <c r="G14">
        <f t="shared" ref="G14:G18" si="6">E23+3</f>
        <v>6</v>
      </c>
      <c r="J14" s="212" t="str">
        <f t="shared" si="1"/>
        <v>Humanitarian Crisis</v>
      </c>
      <c r="K14" s="211" t="str">
        <f t="shared" si="2"/>
        <v>Aviation, Infantry</v>
      </c>
      <c r="L14" s="216">
        <f t="shared" si="3"/>
        <v>3</v>
      </c>
      <c r="M14" s="216">
        <f t="shared" si="3"/>
        <v>5</v>
      </c>
      <c r="N14" s="217">
        <f t="shared" si="3"/>
        <v>6</v>
      </c>
    </row>
    <row r="15" spans="1:14" x14ac:dyDescent="0.3">
      <c r="B15" t="str">
        <f>Lists_Parameters!M15</f>
        <v xml:space="preserve">ISIS 2.0 </v>
      </c>
      <c r="C15" t="s">
        <v>10</v>
      </c>
      <c r="D15" t="s">
        <v>12</v>
      </c>
      <c r="E15">
        <f t="shared" si="4"/>
        <v>4</v>
      </c>
      <c r="F15">
        <f t="shared" si="5"/>
        <v>6</v>
      </c>
      <c r="G15">
        <f t="shared" si="6"/>
        <v>7</v>
      </c>
      <c r="J15" s="212" t="str">
        <f t="shared" si="1"/>
        <v xml:space="preserve">ISIS 2.0 </v>
      </c>
      <c r="K15" s="211" t="str">
        <f t="shared" si="2"/>
        <v>Aviation, Special Operations</v>
      </c>
      <c r="L15" s="216">
        <f t="shared" si="3"/>
        <v>4</v>
      </c>
      <c r="M15" s="216">
        <f t="shared" si="3"/>
        <v>6</v>
      </c>
      <c r="N15" s="217">
        <f t="shared" si="3"/>
        <v>7</v>
      </c>
    </row>
    <row r="16" spans="1:14" x14ac:dyDescent="0.3">
      <c r="B16" t="str">
        <f>Lists_Parameters!M16</f>
        <v>Offensive Campaign (vs. Peer Competitor)</v>
      </c>
      <c r="C16" t="s">
        <v>7</v>
      </c>
      <c r="D16" t="s">
        <v>13</v>
      </c>
      <c r="E16">
        <f t="shared" si="4"/>
        <v>3</v>
      </c>
      <c r="F16">
        <f t="shared" si="5"/>
        <v>5</v>
      </c>
      <c r="G16">
        <f t="shared" si="6"/>
        <v>7</v>
      </c>
      <c r="J16" s="212" t="str">
        <f t="shared" si="1"/>
        <v>Offensive Campaign (vs. Peer Competitor)</v>
      </c>
      <c r="K16" s="211" t="str">
        <f>C16 &amp; ", " &amp; D16</f>
        <v>Armor, Artillery</v>
      </c>
      <c r="L16" s="216">
        <f t="shared" si="3"/>
        <v>3</v>
      </c>
      <c r="M16" s="216">
        <f t="shared" si="3"/>
        <v>5</v>
      </c>
      <c r="N16" s="217">
        <f t="shared" si="3"/>
        <v>7</v>
      </c>
    </row>
    <row r="17" spans="2:14" x14ac:dyDescent="0.3">
      <c r="B17" t="str">
        <f>Lists_Parameters!M17</f>
        <v>Rogue State</v>
      </c>
      <c r="C17" t="s">
        <v>11</v>
      </c>
      <c r="D17" t="s">
        <v>12</v>
      </c>
      <c r="E17">
        <f t="shared" si="4"/>
        <v>3</v>
      </c>
      <c r="F17">
        <f t="shared" si="5"/>
        <v>6</v>
      </c>
      <c r="G17">
        <f t="shared" si="6"/>
        <v>7</v>
      </c>
      <c r="J17" s="212" t="str">
        <f t="shared" si="1"/>
        <v>Rogue State</v>
      </c>
      <c r="K17" s="211" t="str">
        <f t="shared" si="2"/>
        <v>Air Defense, Special Operations</v>
      </c>
      <c r="L17" s="216">
        <f t="shared" si="3"/>
        <v>3</v>
      </c>
      <c r="M17" s="216">
        <f t="shared" si="3"/>
        <v>6</v>
      </c>
      <c r="N17" s="217">
        <f t="shared" si="3"/>
        <v>7</v>
      </c>
    </row>
    <row r="18" spans="2:14" x14ac:dyDescent="0.3">
      <c r="B18" t="str">
        <f>Lists_Parameters!M18</f>
        <v xml:space="preserve">Steady State </v>
      </c>
      <c r="C18" t="s">
        <v>11</v>
      </c>
      <c r="D18" t="s">
        <v>8</v>
      </c>
      <c r="E18">
        <f t="shared" si="4"/>
        <v>2</v>
      </c>
      <c r="F18">
        <f t="shared" si="5"/>
        <v>4</v>
      </c>
      <c r="G18">
        <f t="shared" si="6"/>
        <v>6</v>
      </c>
      <c r="J18" s="212" t="str">
        <f t="shared" si="1"/>
        <v xml:space="preserve">Steady State </v>
      </c>
      <c r="K18" s="211" t="str">
        <f>C18 &amp; ", " &amp; D18</f>
        <v>Air Defense, Infantry</v>
      </c>
      <c r="L18" s="216">
        <f t="shared" si="3"/>
        <v>2</v>
      </c>
      <c r="M18" s="216">
        <f t="shared" si="3"/>
        <v>4</v>
      </c>
      <c r="N18" s="217">
        <f t="shared" si="3"/>
        <v>6</v>
      </c>
    </row>
    <row r="19" spans="2:14" x14ac:dyDescent="0.3">
      <c r="J19" s="1"/>
      <c r="K19" s="2"/>
      <c r="L19" s="2"/>
      <c r="M19" s="2"/>
      <c r="N19" s="4"/>
    </row>
    <row r="20" spans="2:14" ht="30" customHeight="1" thickBot="1" x14ac:dyDescent="0.35">
      <c r="B20" s="326" t="s">
        <v>252</v>
      </c>
      <c r="C20" s="326"/>
      <c r="D20" s="326"/>
      <c r="E20" s="326"/>
      <c r="J20" s="330" t="s">
        <v>254</v>
      </c>
      <c r="K20" s="331"/>
      <c r="L20" s="331"/>
      <c r="M20" s="331"/>
      <c r="N20" s="332"/>
    </row>
    <row r="21" spans="2:14" x14ac:dyDescent="0.3">
      <c r="B21" s="225" t="str">
        <f>B12</f>
        <v>Scenario</v>
      </c>
      <c r="C21" s="225" t="s">
        <v>219</v>
      </c>
      <c r="D21" s="225" t="s">
        <v>220</v>
      </c>
      <c r="E21" s="225" t="s">
        <v>221</v>
      </c>
    </row>
    <row r="22" spans="2:14" x14ac:dyDescent="0.3">
      <c r="B22" t="str">
        <f t="shared" ref="B22:B27" si="7">B13</f>
        <v>Defensive Campaign (vs. Peer Competitor)</v>
      </c>
      <c r="C22">
        <f>'Crisis Scenario Data'!C6</f>
        <v>2</v>
      </c>
      <c r="D22">
        <f>'Crisis Scenario Data'!D6</f>
        <v>3</v>
      </c>
      <c r="E22">
        <f>'Crisis Scenario Data'!E6</f>
        <v>4</v>
      </c>
    </row>
    <row r="23" spans="2:14" x14ac:dyDescent="0.3">
      <c r="B23" t="str">
        <f t="shared" si="7"/>
        <v>Humanitarian Crisis</v>
      </c>
      <c r="C23">
        <f>'Crisis Scenario Data'!C29</f>
        <v>2</v>
      </c>
      <c r="D23">
        <f>'Crisis Scenario Data'!D29</f>
        <v>3</v>
      </c>
      <c r="E23">
        <f>'Crisis Scenario Data'!E29</f>
        <v>3</v>
      </c>
    </row>
    <row r="24" spans="2:14" x14ac:dyDescent="0.3">
      <c r="B24" t="str">
        <f t="shared" si="7"/>
        <v xml:space="preserve">ISIS 2.0 </v>
      </c>
      <c r="C24">
        <f>'Crisis Scenario Data'!C37</f>
        <v>3</v>
      </c>
      <c r="D24">
        <f>'Crisis Scenario Data'!D37</f>
        <v>4</v>
      </c>
      <c r="E24">
        <f>'Crisis Scenario Data'!E37</f>
        <v>4</v>
      </c>
    </row>
    <row r="25" spans="2:14" x14ac:dyDescent="0.3">
      <c r="B25" t="str">
        <f t="shared" si="7"/>
        <v>Offensive Campaign (vs. Peer Competitor)</v>
      </c>
      <c r="C25">
        <f>'Crisis Scenario Data'!C13</f>
        <v>2</v>
      </c>
      <c r="D25">
        <f>'Crisis Scenario Data'!D13</f>
        <v>3</v>
      </c>
      <c r="E25">
        <f>'Crisis Scenario Data'!E13</f>
        <v>4</v>
      </c>
    </row>
    <row r="26" spans="2:14" x14ac:dyDescent="0.3">
      <c r="B26" t="str">
        <f t="shared" si="7"/>
        <v>Rogue State</v>
      </c>
      <c r="C26">
        <f>'Crisis Scenario Data'!C45</f>
        <v>2</v>
      </c>
      <c r="D26">
        <f>'Crisis Scenario Data'!D45</f>
        <v>4</v>
      </c>
      <c r="E26">
        <f>'Crisis Scenario Data'!E45</f>
        <v>4</v>
      </c>
    </row>
    <row r="27" spans="2:14" x14ac:dyDescent="0.3">
      <c r="B27" t="str">
        <f t="shared" si="7"/>
        <v xml:space="preserve">Steady State </v>
      </c>
      <c r="C27">
        <f>'Crisis Scenario Data'!C21</f>
        <v>1</v>
      </c>
      <c r="D27">
        <f>'Crisis Scenario Data'!D21</f>
        <v>2</v>
      </c>
      <c r="E27">
        <f>'Crisis Scenario Data'!E21</f>
        <v>3</v>
      </c>
    </row>
  </sheetData>
  <mergeCells count="5">
    <mergeCell ref="B11:G11"/>
    <mergeCell ref="B20:E20"/>
    <mergeCell ref="L11:N11"/>
    <mergeCell ref="J10:N10"/>
    <mergeCell ref="J20:N20"/>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C5"/>
  <sheetViews>
    <sheetView zoomScale="120" zoomScaleNormal="120" workbookViewId="0">
      <selection activeCell="C7" sqref="C7"/>
    </sheetView>
  </sheetViews>
  <sheetFormatPr defaultRowHeight="14.4" x14ac:dyDescent="0.3"/>
  <cols>
    <col min="2" max="2" width="59.44140625" bestFit="1" customWidth="1"/>
    <col min="3" max="3" width="34.109375" bestFit="1" customWidth="1"/>
  </cols>
  <sheetData>
    <row r="2" spans="2:3" ht="61.2" x14ac:dyDescent="1.1000000000000001">
      <c r="B2" s="144" t="s">
        <v>192</v>
      </c>
      <c r="C2" s="144" t="s">
        <v>83</v>
      </c>
    </row>
    <row r="3" spans="2:3" ht="61.2" x14ac:dyDescent="1.1000000000000001">
      <c r="B3" s="145" t="s">
        <v>176</v>
      </c>
      <c r="C3" s="144">
        <f ca="1">RANDBETWEEN(1,6)</f>
        <v>4</v>
      </c>
    </row>
    <row r="4" spans="2:3" ht="61.2" x14ac:dyDescent="1.1000000000000001">
      <c r="B4" s="145" t="s">
        <v>177</v>
      </c>
      <c r="C4" s="144">
        <f t="shared" ref="C4" ca="1" si="0">RANDBETWEEN(1,6)</f>
        <v>3</v>
      </c>
    </row>
    <row r="5" spans="2:3" ht="61.2" x14ac:dyDescent="1.1000000000000001">
      <c r="B5" s="146" t="s">
        <v>182</v>
      </c>
      <c r="C5" s="144">
        <f ca="1">RANDBETWEEN(1,6)</f>
        <v>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74"/>
  <sheetViews>
    <sheetView zoomScale="80" zoomScaleNormal="80" workbookViewId="0">
      <selection activeCell="D3" sqref="D3"/>
    </sheetView>
  </sheetViews>
  <sheetFormatPr defaultRowHeight="14.4" x14ac:dyDescent="0.3"/>
  <cols>
    <col min="2" max="2" width="13.109375" bestFit="1" customWidth="1"/>
    <col min="3" max="3" width="24.5546875" bestFit="1" customWidth="1"/>
    <col min="4" max="4" width="11" bestFit="1" customWidth="1"/>
    <col min="5" max="5" width="14.6640625" customWidth="1"/>
    <col min="6" max="6" width="16.6640625" customWidth="1"/>
    <col min="8" max="8" width="9.6640625" bestFit="1" customWidth="1"/>
    <col min="9" max="9" width="21.5546875" customWidth="1"/>
    <col min="10" max="10" width="16.44140625" bestFit="1" customWidth="1"/>
    <col min="12" max="12" width="22.33203125" bestFit="1" customWidth="1"/>
    <col min="13" max="13" width="15" customWidth="1"/>
    <col min="14" max="14" width="15" bestFit="1" customWidth="1"/>
    <col min="15" max="15" width="20.5546875" customWidth="1"/>
    <col min="16" max="16" width="13.44140625" bestFit="1" customWidth="1"/>
    <col min="18" max="18" width="31.44140625" bestFit="1" customWidth="1"/>
    <col min="19" max="19" width="20" bestFit="1" customWidth="1"/>
  </cols>
  <sheetData>
    <row r="1" spans="1:23" ht="15" thickBot="1" x14ac:dyDescent="0.35">
      <c r="A1" s="138" t="s">
        <v>172</v>
      </c>
    </row>
    <row r="2" spans="1:23" x14ac:dyDescent="0.3">
      <c r="B2" s="338" t="s">
        <v>175</v>
      </c>
      <c r="C2" s="339"/>
      <c r="D2" s="339"/>
      <c r="E2" s="339"/>
      <c r="F2" s="340"/>
    </row>
    <row r="3" spans="1:23" x14ac:dyDescent="0.3">
      <c r="B3" s="1" t="s">
        <v>471</v>
      </c>
      <c r="C3" s="2"/>
      <c r="D3" s="80">
        <v>0.3</v>
      </c>
      <c r="E3" s="2"/>
      <c r="F3" s="4"/>
    </row>
    <row r="4" spans="1:23" x14ac:dyDescent="0.3">
      <c r="B4" s="1"/>
      <c r="C4" s="2"/>
      <c r="D4" s="2"/>
      <c r="E4" s="2"/>
      <c r="F4" s="4"/>
    </row>
    <row r="5" spans="1:23" x14ac:dyDescent="0.3">
      <c r="B5" s="1" t="s">
        <v>472</v>
      </c>
      <c r="C5" s="2"/>
      <c r="D5" s="80">
        <v>0.5</v>
      </c>
      <c r="E5" s="2"/>
      <c r="F5" s="4"/>
    </row>
    <row r="6" spans="1:23" x14ac:dyDescent="0.3">
      <c r="B6" s="1"/>
      <c r="C6" s="2"/>
      <c r="D6" s="2"/>
      <c r="E6" s="2"/>
      <c r="F6" s="4"/>
    </row>
    <row r="7" spans="1:23" x14ac:dyDescent="0.3">
      <c r="B7" s="1" t="s">
        <v>147</v>
      </c>
      <c r="C7" s="2"/>
      <c r="D7" s="80">
        <v>0.5</v>
      </c>
      <c r="E7" s="2"/>
      <c r="F7" s="4"/>
    </row>
    <row r="8" spans="1:23" x14ac:dyDescent="0.3">
      <c r="B8" s="1"/>
      <c r="C8" s="2"/>
      <c r="D8" s="2"/>
      <c r="E8" s="2"/>
      <c r="F8" s="4"/>
    </row>
    <row r="9" spans="1:23" ht="15" thickBot="1" x14ac:dyDescent="0.35">
      <c r="B9" s="5" t="s">
        <v>148</v>
      </c>
      <c r="C9" s="88"/>
      <c r="D9" s="88"/>
      <c r="E9" s="88"/>
      <c r="F9" s="89">
        <v>10</v>
      </c>
    </row>
    <row r="11" spans="1:23" ht="15" thickBot="1" x14ac:dyDescent="0.35">
      <c r="H11" s="347" t="s">
        <v>244</v>
      </c>
      <c r="I11" s="347"/>
      <c r="J11" s="347"/>
      <c r="U11" s="18" t="s">
        <v>223</v>
      </c>
      <c r="W11" s="18" t="s">
        <v>245</v>
      </c>
    </row>
    <row r="12" spans="1:23" x14ac:dyDescent="0.3">
      <c r="B12" s="18" t="s">
        <v>2</v>
      </c>
      <c r="C12" s="18" t="s">
        <v>75</v>
      </c>
      <c r="D12" s="18" t="s">
        <v>63</v>
      </c>
      <c r="E12" s="18" t="s">
        <v>79</v>
      </c>
      <c r="F12" s="18" t="s">
        <v>80</v>
      </c>
      <c r="H12" s="201" t="s">
        <v>20</v>
      </c>
      <c r="I12" s="192" t="s">
        <v>92</v>
      </c>
      <c r="J12" s="202" t="s">
        <v>88</v>
      </c>
      <c r="K12" s="18"/>
      <c r="L12" s="18" t="s">
        <v>93</v>
      </c>
      <c r="M12" s="18" t="s">
        <v>117</v>
      </c>
      <c r="Q12" s="18" t="s">
        <v>149</v>
      </c>
      <c r="U12" t="s">
        <v>94</v>
      </c>
      <c r="W12" t="s">
        <v>95</v>
      </c>
    </row>
    <row r="13" spans="1:23" x14ac:dyDescent="0.3">
      <c r="B13">
        <v>1</v>
      </c>
      <c r="C13">
        <v>2</v>
      </c>
      <c r="H13" s="1" t="s">
        <v>82</v>
      </c>
      <c r="I13" s="2">
        <v>5</v>
      </c>
      <c r="J13" s="4">
        <v>6</v>
      </c>
      <c r="L13" t="s">
        <v>94</v>
      </c>
      <c r="M13" t="str">
        <f>'Crisis Scenario Data'!A3</f>
        <v>Defensive Campaign (vs. Peer Competitor)</v>
      </c>
      <c r="Q13" t="s">
        <v>146</v>
      </c>
      <c r="U13" t="s">
        <v>82</v>
      </c>
      <c r="W13" s="185" t="s">
        <v>82</v>
      </c>
    </row>
    <row r="14" spans="1:23" x14ac:dyDescent="0.3">
      <c r="B14">
        <v>2</v>
      </c>
      <c r="C14">
        <v>3</v>
      </c>
      <c r="D14" t="s">
        <v>63</v>
      </c>
      <c r="E14" t="s">
        <v>63</v>
      </c>
      <c r="F14" t="s">
        <v>63</v>
      </c>
      <c r="H14" s="1">
        <v>4</v>
      </c>
      <c r="I14" s="2">
        <v>4</v>
      </c>
      <c r="J14" s="4">
        <v>5</v>
      </c>
      <c r="L14" t="s">
        <v>95</v>
      </c>
      <c r="M14" t="str">
        <f>'Crisis Scenario Data'!A24</f>
        <v>Humanitarian Crisis</v>
      </c>
      <c r="Q14" t="s">
        <v>150</v>
      </c>
      <c r="U14">
        <v>4</v>
      </c>
      <c r="W14" s="185">
        <v>4</v>
      </c>
    </row>
    <row r="15" spans="1:23" x14ac:dyDescent="0.3">
      <c r="B15">
        <v>3</v>
      </c>
      <c r="C15">
        <v>4</v>
      </c>
      <c r="E15" t="s">
        <v>64</v>
      </c>
      <c r="F15" t="s">
        <v>64</v>
      </c>
      <c r="H15" s="1">
        <v>3</v>
      </c>
      <c r="I15" s="2">
        <v>3</v>
      </c>
      <c r="J15" s="4">
        <v>4</v>
      </c>
      <c r="M15" t="str">
        <f>'Crisis Scenario Data'!A32</f>
        <v xml:space="preserve">ISIS 2.0 </v>
      </c>
      <c r="Q15" t="s">
        <v>151</v>
      </c>
      <c r="U15">
        <v>3</v>
      </c>
      <c r="W15" s="185">
        <v>3</v>
      </c>
    </row>
    <row r="16" spans="1:23" x14ac:dyDescent="0.3">
      <c r="B16">
        <v>4</v>
      </c>
      <c r="F16" t="s">
        <v>78</v>
      </c>
      <c r="H16" s="1">
        <v>2</v>
      </c>
      <c r="I16" s="2">
        <v>2</v>
      </c>
      <c r="J16" s="4">
        <v>3</v>
      </c>
      <c r="M16" t="str">
        <f>'Crisis Scenario Data'!A10</f>
        <v>Offensive Campaign (vs. Peer Competitor)</v>
      </c>
      <c r="W16" s="185">
        <v>2</v>
      </c>
    </row>
    <row r="17" spans="2:23" ht="15" thickBot="1" x14ac:dyDescent="0.35">
      <c r="H17" s="5" t="s">
        <v>81</v>
      </c>
      <c r="I17" s="88">
        <v>1</v>
      </c>
      <c r="J17" s="6">
        <v>2</v>
      </c>
      <c r="M17" t="str">
        <f>'Crisis Scenario Data'!A42</f>
        <v>Rogue State</v>
      </c>
      <c r="W17" s="185" t="s">
        <v>81</v>
      </c>
    </row>
    <row r="18" spans="2:23" ht="15" thickBot="1" x14ac:dyDescent="0.35">
      <c r="B18" s="96" t="s">
        <v>137</v>
      </c>
      <c r="C18" s="97" t="s">
        <v>45</v>
      </c>
      <c r="D18" s="207" t="s">
        <v>193</v>
      </c>
      <c r="M18" t="str">
        <f>'Crisis Scenario Data'!A18</f>
        <v xml:space="preserve">Steady State </v>
      </c>
    </row>
    <row r="19" spans="2:23" x14ac:dyDescent="0.3">
      <c r="B19" s="94">
        <v>0</v>
      </c>
      <c r="C19" s="101">
        <v>12</v>
      </c>
      <c r="D19" s="208">
        <v>0.97</v>
      </c>
    </row>
    <row r="20" spans="2:23" ht="15.75" customHeight="1" x14ac:dyDescent="0.3">
      <c r="B20" s="91">
        <v>0.03</v>
      </c>
      <c r="C20" s="98">
        <v>12</v>
      </c>
      <c r="D20" s="209">
        <f t="shared" ref="D20" si="0">1-B20</f>
        <v>0.97</v>
      </c>
    </row>
    <row r="21" spans="2:23" x14ac:dyDescent="0.3">
      <c r="B21" s="91">
        <v>0.04</v>
      </c>
      <c r="C21" s="4">
        <v>11</v>
      </c>
      <c r="D21" s="209">
        <v>0.97</v>
      </c>
      <c r="T21" t="s">
        <v>266</v>
      </c>
    </row>
    <row r="22" spans="2:23" ht="15" thickBot="1" x14ac:dyDescent="0.35">
      <c r="B22" s="91">
        <v>0.08</v>
      </c>
      <c r="C22" s="98">
        <v>11</v>
      </c>
      <c r="D22" s="209">
        <f>1-B22</f>
        <v>0.92</v>
      </c>
      <c r="L22" s="347" t="s">
        <v>70</v>
      </c>
      <c r="M22" s="347"/>
      <c r="N22" s="347"/>
      <c r="O22" s="347"/>
    </row>
    <row r="23" spans="2:23" x14ac:dyDescent="0.3">
      <c r="B23" s="91">
        <v>0.17</v>
      </c>
      <c r="C23" s="98">
        <v>10</v>
      </c>
      <c r="D23" s="209">
        <f t="shared" ref="D23:D29" si="1">1-B23</f>
        <v>0.83</v>
      </c>
      <c r="L23" s="129" t="s">
        <v>87</v>
      </c>
      <c r="M23" s="131" t="s">
        <v>88</v>
      </c>
      <c r="N23" s="131" t="s">
        <v>89</v>
      </c>
      <c r="O23" s="101" t="s">
        <v>90</v>
      </c>
    </row>
    <row r="24" spans="2:23" x14ac:dyDescent="0.3">
      <c r="B24" s="91">
        <v>0.28000000000000003</v>
      </c>
      <c r="C24" s="98">
        <v>9</v>
      </c>
      <c r="D24" s="209">
        <f t="shared" si="1"/>
        <v>0.72</v>
      </c>
      <c r="L24" s="121">
        <v>1</v>
      </c>
      <c r="M24" s="120">
        <v>3</v>
      </c>
      <c r="N24" s="120">
        <f>'Tables for Printing'!$AA$6</f>
        <v>4</v>
      </c>
      <c r="O24" s="122">
        <f>'Tables for Printing'!$AC$6</f>
        <v>6</v>
      </c>
    </row>
    <row r="25" spans="2:23" x14ac:dyDescent="0.3">
      <c r="B25" s="91">
        <v>0.42</v>
      </c>
      <c r="C25" s="98">
        <v>8</v>
      </c>
      <c r="D25" s="209">
        <f t="shared" si="1"/>
        <v>0.58000000000000007</v>
      </c>
      <c r="L25" s="121">
        <v>2</v>
      </c>
      <c r="M25" s="120">
        <v>3</v>
      </c>
      <c r="N25" s="120">
        <f>'Tables for Printing'!$AA$6</f>
        <v>4</v>
      </c>
      <c r="O25" s="122">
        <f>'Tables for Printing'!$AC$6</f>
        <v>6</v>
      </c>
    </row>
    <row r="26" spans="2:23" x14ac:dyDescent="0.3">
      <c r="B26" s="91">
        <v>0.57999999999999996</v>
      </c>
      <c r="C26" s="98">
        <v>7</v>
      </c>
      <c r="D26" s="209">
        <f t="shared" si="1"/>
        <v>0.42000000000000004</v>
      </c>
      <c r="L26" s="121">
        <v>3</v>
      </c>
      <c r="M26" s="120">
        <v>4</v>
      </c>
      <c r="N26" s="120">
        <f>'Tables for Printing'!$AA$7</f>
        <v>3</v>
      </c>
      <c r="O26" s="122">
        <f>'Tables for Printing'!$AC$7</f>
        <v>8</v>
      </c>
    </row>
    <row r="27" spans="2:23" x14ac:dyDescent="0.3">
      <c r="B27" s="91">
        <v>0.72</v>
      </c>
      <c r="C27" s="98">
        <v>6</v>
      </c>
      <c r="D27" s="209">
        <f t="shared" si="1"/>
        <v>0.28000000000000003</v>
      </c>
      <c r="L27" s="121">
        <v>4</v>
      </c>
      <c r="M27" s="120">
        <v>4</v>
      </c>
      <c r="N27" s="120">
        <f>'Tables for Printing'!$AA$7</f>
        <v>3</v>
      </c>
      <c r="O27" s="122">
        <f>'Tables for Printing'!$AC$7</f>
        <v>8</v>
      </c>
    </row>
    <row r="28" spans="2:23" x14ac:dyDescent="0.3">
      <c r="B28" s="91">
        <v>0.83</v>
      </c>
      <c r="C28" s="98">
        <v>5</v>
      </c>
      <c r="D28" s="209">
        <f t="shared" si="1"/>
        <v>0.17000000000000004</v>
      </c>
      <c r="L28" s="121">
        <v>5</v>
      </c>
      <c r="M28" s="120">
        <v>4</v>
      </c>
      <c r="N28" s="120">
        <f>'Tables for Printing'!$AA$7</f>
        <v>3</v>
      </c>
      <c r="O28" s="122">
        <f>'Tables for Printing'!$AC$7</f>
        <v>8</v>
      </c>
    </row>
    <row r="29" spans="2:23" x14ac:dyDescent="0.3">
      <c r="B29" s="91">
        <v>0.92</v>
      </c>
      <c r="C29" s="98">
        <v>4</v>
      </c>
      <c r="D29" s="209">
        <f t="shared" si="1"/>
        <v>7.999999999999996E-2</v>
      </c>
      <c r="L29" s="121">
        <v>6</v>
      </c>
      <c r="M29" s="120">
        <v>5</v>
      </c>
      <c r="N29" s="120">
        <f>'Tables for Printing'!$AA$8</f>
        <v>2</v>
      </c>
      <c r="O29" s="122">
        <f>'Tables for Printing'!$AC$8</f>
        <v>10</v>
      </c>
    </row>
    <row r="30" spans="2:23" x14ac:dyDescent="0.3">
      <c r="B30" s="91">
        <v>0.97</v>
      </c>
      <c r="C30" s="98">
        <v>3</v>
      </c>
      <c r="D30" s="209">
        <v>0.03</v>
      </c>
      <c r="L30" s="121">
        <v>7</v>
      </c>
      <c r="M30" s="120">
        <v>5</v>
      </c>
      <c r="N30" s="120">
        <f>'Tables for Printing'!$AA$8</f>
        <v>2</v>
      </c>
      <c r="O30" s="122">
        <f>'Tables for Printing'!$AC$8</f>
        <v>10</v>
      </c>
    </row>
    <row r="31" spans="2:23" ht="15" thickBot="1" x14ac:dyDescent="0.35">
      <c r="B31" s="99">
        <v>1</v>
      </c>
      <c r="C31" s="100">
        <v>3</v>
      </c>
      <c r="D31" s="210">
        <v>0.03</v>
      </c>
      <c r="L31" s="132">
        <v>8</v>
      </c>
      <c r="M31" s="133">
        <v>5</v>
      </c>
      <c r="N31" s="133">
        <f>'Tables for Printing'!$AA$8</f>
        <v>2</v>
      </c>
      <c r="O31" s="134">
        <f>'Tables for Printing'!$AC$8</f>
        <v>10</v>
      </c>
    </row>
    <row r="32" spans="2:23" ht="15" thickBot="1" x14ac:dyDescent="0.35">
      <c r="B32" s="138" t="s">
        <v>173</v>
      </c>
    </row>
    <row r="33" spans="2:17" ht="15" thickBot="1" x14ac:dyDescent="0.35">
      <c r="B33" s="344" t="s">
        <v>174</v>
      </c>
      <c r="C33" s="345"/>
      <c r="D33" s="345"/>
      <c r="E33" s="345"/>
      <c r="F33" s="345"/>
      <c r="G33" s="345"/>
      <c r="H33" s="345"/>
      <c r="I33" s="346"/>
      <c r="J33" s="95"/>
      <c r="K33" s="19"/>
    </row>
    <row r="34" spans="2:17" ht="15" thickBot="1" x14ac:dyDescent="0.35">
      <c r="B34" s="343" t="s">
        <v>20</v>
      </c>
      <c r="C34" s="341" t="s">
        <v>91</v>
      </c>
      <c r="D34" s="316"/>
      <c r="E34" s="342"/>
      <c r="F34" s="341" t="s">
        <v>163</v>
      </c>
      <c r="G34" s="316"/>
      <c r="H34" s="316"/>
      <c r="I34" s="342"/>
      <c r="K34" s="19"/>
      <c r="L34" s="344" t="s">
        <v>47</v>
      </c>
      <c r="M34" s="346"/>
      <c r="O34" s="351" t="s">
        <v>33</v>
      </c>
      <c r="P34" s="352"/>
      <c r="Q34" s="353"/>
    </row>
    <row r="35" spans="2:17" x14ac:dyDescent="0.3">
      <c r="B35" s="343"/>
      <c r="C35" s="91">
        <v>2</v>
      </c>
      <c r="D35" s="3">
        <v>3</v>
      </c>
      <c r="E35" s="90">
        <v>4</v>
      </c>
      <c r="F35" s="1" t="s">
        <v>162</v>
      </c>
      <c r="G35" s="3">
        <v>2</v>
      </c>
      <c r="H35" s="3">
        <v>3</v>
      </c>
      <c r="I35" s="90">
        <v>4</v>
      </c>
      <c r="K35" s="19"/>
      <c r="L35" s="13" t="s">
        <v>46</v>
      </c>
      <c r="M35" s="14" t="s">
        <v>48</v>
      </c>
      <c r="O35" s="135" t="s">
        <v>28</v>
      </c>
      <c r="P35" s="136" t="s">
        <v>29</v>
      </c>
      <c r="Q35" s="137" t="s">
        <v>30</v>
      </c>
    </row>
    <row r="36" spans="2:17" x14ac:dyDescent="0.3">
      <c r="B36" s="92" t="s">
        <v>82</v>
      </c>
      <c r="C36" s="1">
        <f>'Tables for Printing'!R16</f>
        <v>20</v>
      </c>
      <c r="D36" s="2">
        <f>'Tables for Printing'!S16</f>
        <v>30</v>
      </c>
      <c r="E36" s="4">
        <f>'Tables for Printing'!T16</f>
        <v>40</v>
      </c>
      <c r="F36" s="1">
        <v>1</v>
      </c>
      <c r="G36" s="2">
        <f>'Tables for Printing'!V16</f>
        <v>20</v>
      </c>
      <c r="H36" s="2">
        <f>'Tables for Printing'!W16</f>
        <v>30</v>
      </c>
      <c r="I36" s="4">
        <f>'Tables for Printing'!X16</f>
        <v>40</v>
      </c>
      <c r="L36" s="1">
        <f>'Tables for Printing'!AJ6</f>
        <v>2</v>
      </c>
      <c r="M36" s="4">
        <f>'Tables for Printing'!AK6</f>
        <v>0.5</v>
      </c>
      <c r="O36" s="7">
        <v>1</v>
      </c>
      <c r="P36" s="9">
        <f>'Tables for Printing'!AG6</f>
        <v>0.85</v>
      </c>
      <c r="Q36" s="8">
        <f>'Tables for Printing'!AH6</f>
        <v>1.1499999999999999</v>
      </c>
    </row>
    <row r="37" spans="2:17" x14ac:dyDescent="0.3">
      <c r="B37" s="92">
        <v>4</v>
      </c>
      <c r="C37" s="1">
        <f>'Tables for Printing'!R17</f>
        <v>50</v>
      </c>
      <c r="D37" s="2">
        <f>'Tables for Printing'!S17</f>
        <v>75</v>
      </c>
      <c r="E37" s="4">
        <f>'Tables for Printing'!T17</f>
        <v>100</v>
      </c>
      <c r="F37" s="1">
        <v>2</v>
      </c>
      <c r="G37" s="2">
        <f>'Tables for Printing'!V17</f>
        <v>50</v>
      </c>
      <c r="H37" s="2">
        <f>'Tables for Printing'!W17</f>
        <v>75</v>
      </c>
      <c r="I37" s="4">
        <f>'Tables for Printing'!X17</f>
        <v>100</v>
      </c>
      <c r="L37" s="1">
        <f>'Tables for Printing'!AJ7</f>
        <v>3</v>
      </c>
      <c r="M37" s="4">
        <f>'Tables for Printing'!AK7</f>
        <v>0.55000000000000004</v>
      </c>
      <c r="O37" s="7">
        <v>2</v>
      </c>
      <c r="P37" s="9">
        <f>'Tables for Printing'!AG7</f>
        <v>0.75</v>
      </c>
      <c r="Q37" s="8">
        <f>'Tables for Printing'!AH7</f>
        <v>1.25</v>
      </c>
    </row>
    <row r="38" spans="2:17" ht="15" thickBot="1" x14ac:dyDescent="0.35">
      <c r="B38" s="92">
        <v>3</v>
      </c>
      <c r="C38" s="1">
        <f>'Tables for Printing'!R18</f>
        <v>80</v>
      </c>
      <c r="D38" s="2">
        <f>'Tables for Printing'!S18</f>
        <v>120</v>
      </c>
      <c r="E38" s="4">
        <f>'Tables for Printing'!T18</f>
        <v>160</v>
      </c>
      <c r="F38" s="1">
        <v>3</v>
      </c>
      <c r="G38" s="2">
        <f>'Tables for Printing'!V18</f>
        <v>80</v>
      </c>
      <c r="H38" s="2">
        <f>'Tables for Printing'!W18</f>
        <v>120</v>
      </c>
      <c r="I38" s="4">
        <f>'Tables for Printing'!X18</f>
        <v>160</v>
      </c>
      <c r="L38" s="1">
        <f>'Tables for Printing'!AJ8</f>
        <v>4</v>
      </c>
      <c r="M38" s="4">
        <f>'Tables for Printing'!AK8</f>
        <v>0.6</v>
      </c>
      <c r="O38" s="10">
        <v>3</v>
      </c>
      <c r="P38" s="11">
        <f>'Tables for Printing'!AG8</f>
        <v>0.66</v>
      </c>
      <c r="Q38" s="12">
        <f>'Tables for Printing'!AH8</f>
        <v>1.33</v>
      </c>
    </row>
    <row r="39" spans="2:17" x14ac:dyDescent="0.3">
      <c r="B39" s="92">
        <v>2</v>
      </c>
      <c r="C39" s="1">
        <f>'Tables for Printing'!R19</f>
        <v>100</v>
      </c>
      <c r="D39" s="2">
        <f>'Tables for Printing'!S19</f>
        <v>150</v>
      </c>
      <c r="E39" s="4">
        <f>'Tables for Printing'!T19</f>
        <v>200</v>
      </c>
      <c r="F39" s="1">
        <v>4</v>
      </c>
      <c r="G39" s="2">
        <f>'Tables for Printing'!V19</f>
        <v>100</v>
      </c>
      <c r="H39" s="2">
        <f>'Tables for Printing'!W19</f>
        <v>150</v>
      </c>
      <c r="I39" s="4">
        <f>'Tables for Printing'!X19</f>
        <v>200</v>
      </c>
      <c r="L39" s="1">
        <f>'Tables for Printing'!AJ9</f>
        <v>5</v>
      </c>
      <c r="M39" s="4">
        <f>'Tables for Printing'!AK9</f>
        <v>0.65</v>
      </c>
    </row>
    <row r="40" spans="2:17" ht="15" thickBot="1" x14ac:dyDescent="0.35">
      <c r="B40" s="93" t="s">
        <v>81</v>
      </c>
      <c r="C40" s="5">
        <f>'Tables for Printing'!R20</f>
        <v>150</v>
      </c>
      <c r="D40" s="88">
        <f>'Tables for Printing'!S20</f>
        <v>225</v>
      </c>
      <c r="E40" s="6">
        <f>'Tables for Printing'!T20</f>
        <v>300</v>
      </c>
      <c r="F40" s="5">
        <v>5</v>
      </c>
      <c r="G40" s="88">
        <f>'Tables for Printing'!V20</f>
        <v>150</v>
      </c>
      <c r="H40" s="88">
        <f>'Tables for Printing'!W20</f>
        <v>225</v>
      </c>
      <c r="I40" s="6">
        <f>'Tables for Printing'!X20</f>
        <v>300</v>
      </c>
      <c r="L40" s="1">
        <f>'Tables for Printing'!AJ10</f>
        <v>6</v>
      </c>
      <c r="M40" s="4">
        <f>'Tables for Printing'!AK10</f>
        <v>0.7</v>
      </c>
    </row>
    <row r="41" spans="2:17" x14ac:dyDescent="0.3">
      <c r="L41" s="1">
        <f>'Tables for Printing'!AJ11</f>
        <v>7</v>
      </c>
      <c r="M41" s="4">
        <f>'Tables for Printing'!AK11</f>
        <v>0.75</v>
      </c>
    </row>
    <row r="42" spans="2:17" x14ac:dyDescent="0.3">
      <c r="L42" s="1">
        <f>'Tables for Printing'!AJ12</f>
        <v>8</v>
      </c>
      <c r="M42" s="4">
        <f>'Tables for Printing'!AK12</f>
        <v>0.8</v>
      </c>
    </row>
    <row r="43" spans="2:17" x14ac:dyDescent="0.3">
      <c r="L43" s="1">
        <f>'Tables for Printing'!AJ13</f>
        <v>9</v>
      </c>
      <c r="M43" s="4">
        <f>'Tables for Printing'!AK13</f>
        <v>0.85</v>
      </c>
    </row>
    <row r="44" spans="2:17" ht="15" thickBot="1" x14ac:dyDescent="0.35">
      <c r="L44" s="1">
        <f>'Tables for Printing'!AJ14</f>
        <v>10</v>
      </c>
      <c r="M44" s="4">
        <f>'Tables for Printing'!AK14</f>
        <v>0.9</v>
      </c>
    </row>
    <row r="45" spans="2:17" x14ac:dyDescent="0.3">
      <c r="B45" s="329" t="s">
        <v>70</v>
      </c>
      <c r="C45" s="327"/>
      <c r="D45" s="327"/>
      <c r="E45" s="327"/>
      <c r="F45" s="327"/>
      <c r="G45" s="328"/>
      <c r="I45" s="329" t="s">
        <v>235</v>
      </c>
      <c r="J45" s="328"/>
      <c r="L45" s="1">
        <f>'Tables for Printing'!AJ15</f>
        <v>11</v>
      </c>
      <c r="M45" s="4">
        <f>'Tables for Printing'!AK15</f>
        <v>0.95</v>
      </c>
    </row>
    <row r="46" spans="2:17" ht="15" thickBot="1" x14ac:dyDescent="0.35">
      <c r="B46" s="1"/>
      <c r="C46" s="2"/>
      <c r="D46" s="324" t="s">
        <v>232</v>
      </c>
      <c r="E46" s="324"/>
      <c r="F46" s="324"/>
      <c r="G46" s="333"/>
      <c r="I46" s="183" t="s">
        <v>238</v>
      </c>
      <c r="J46" s="184" t="s">
        <v>233</v>
      </c>
      <c r="L46" s="5">
        <f>'Tables for Printing'!AJ16</f>
        <v>12</v>
      </c>
      <c r="M46" s="6">
        <f>'Tables for Printing'!AK16</f>
        <v>1</v>
      </c>
    </row>
    <row r="47" spans="2:17" x14ac:dyDescent="0.3">
      <c r="B47" s="186" t="s">
        <v>224</v>
      </c>
      <c r="C47" s="182" t="s">
        <v>247</v>
      </c>
      <c r="D47" s="182" t="s">
        <v>3</v>
      </c>
      <c r="E47" s="182" t="s">
        <v>4</v>
      </c>
      <c r="F47" s="182" t="s">
        <v>5</v>
      </c>
      <c r="G47" s="187" t="s">
        <v>229</v>
      </c>
      <c r="I47" s="183">
        <v>1</v>
      </c>
      <c r="J47" s="184">
        <v>0.2</v>
      </c>
    </row>
    <row r="48" spans="2:17" ht="15" thickBot="1" x14ac:dyDescent="0.35">
      <c r="B48" s="188" t="s">
        <v>225</v>
      </c>
      <c r="C48" s="181">
        <v>5</v>
      </c>
      <c r="D48" s="181">
        <v>7</v>
      </c>
      <c r="E48" s="181">
        <v>6</v>
      </c>
      <c r="F48" s="181">
        <v>5</v>
      </c>
      <c r="G48" s="184">
        <v>4</v>
      </c>
      <c r="I48" s="183">
        <v>2</v>
      </c>
      <c r="J48" s="184">
        <v>0.3</v>
      </c>
    </row>
    <row r="49" spans="2:19" x14ac:dyDescent="0.3">
      <c r="B49" s="189" t="s">
        <v>226</v>
      </c>
      <c r="C49" s="181">
        <v>4</v>
      </c>
      <c r="D49" s="181">
        <v>9</v>
      </c>
      <c r="E49" s="181">
        <v>8</v>
      </c>
      <c r="F49" s="181">
        <v>6</v>
      </c>
      <c r="G49" s="184">
        <v>5</v>
      </c>
      <c r="I49" s="183">
        <v>3</v>
      </c>
      <c r="J49" s="184">
        <v>0.4</v>
      </c>
      <c r="L49" s="348" t="s">
        <v>419</v>
      </c>
      <c r="M49" s="349"/>
      <c r="N49" s="349"/>
      <c r="O49" s="349"/>
      <c r="P49" s="349"/>
      <c r="Q49" s="349"/>
      <c r="R49" s="350"/>
    </row>
    <row r="50" spans="2:19" x14ac:dyDescent="0.3">
      <c r="B50" s="189" t="s">
        <v>227</v>
      </c>
      <c r="C50" s="181">
        <v>3</v>
      </c>
      <c r="D50" s="181">
        <v>10</v>
      </c>
      <c r="E50" s="181">
        <v>9</v>
      </c>
      <c r="F50" s="181">
        <v>7</v>
      </c>
      <c r="G50" s="184">
        <v>6</v>
      </c>
      <c r="I50" s="183">
        <v>4</v>
      </c>
      <c r="J50" s="184">
        <v>0.5</v>
      </c>
      <c r="L50" s="1"/>
      <c r="M50" s="270" t="s">
        <v>272</v>
      </c>
      <c r="N50" s="270" t="s">
        <v>275</v>
      </c>
      <c r="O50" s="270" t="s">
        <v>276</v>
      </c>
      <c r="P50" s="270" t="s">
        <v>115</v>
      </c>
      <c r="Q50" s="270" t="s">
        <v>55</v>
      </c>
      <c r="R50" s="271" t="s">
        <v>277</v>
      </c>
    </row>
    <row r="51" spans="2:19" ht="15" thickBot="1" x14ac:dyDescent="0.35">
      <c r="B51" s="190" t="s">
        <v>228</v>
      </c>
      <c r="C51" s="133">
        <v>2</v>
      </c>
      <c r="D51" s="133">
        <v>11</v>
      </c>
      <c r="E51" s="133">
        <v>10</v>
      </c>
      <c r="F51" s="133">
        <v>8</v>
      </c>
      <c r="G51" s="134">
        <v>7</v>
      </c>
      <c r="I51" s="183">
        <v>5</v>
      </c>
      <c r="J51" s="184">
        <v>0.6</v>
      </c>
      <c r="L51" s="1" t="s">
        <v>8</v>
      </c>
      <c r="M51" s="2">
        <v>2</v>
      </c>
      <c r="N51" s="2">
        <v>3</v>
      </c>
      <c r="O51" s="2">
        <v>1</v>
      </c>
      <c r="P51" s="2">
        <v>1</v>
      </c>
      <c r="Q51" s="2">
        <f t="shared" ref="Q51:Q58" si="2">SUM(M51:P51)</f>
        <v>7</v>
      </c>
      <c r="R51" s="4" t="str">
        <f t="shared" ref="R51:R58" si="3">Q51 &amp; " (" &amp; M51 &amp;"/"&amp;N51&amp;"/"&amp;O51&amp;"/"&amp; P51 &amp; ")"</f>
        <v>7 (2/3/1/1)</v>
      </c>
    </row>
    <row r="52" spans="2:19" ht="15" thickBot="1" x14ac:dyDescent="0.35">
      <c r="B52" s="334" t="s">
        <v>237</v>
      </c>
      <c r="C52" s="334"/>
      <c r="D52" s="334"/>
      <c r="E52" s="334"/>
      <c r="F52" s="334"/>
      <c r="G52" s="334"/>
      <c r="I52" s="183">
        <v>6</v>
      </c>
      <c r="J52" s="184">
        <v>0.7</v>
      </c>
      <c r="L52" s="1" t="s">
        <v>7</v>
      </c>
      <c r="M52" s="2">
        <v>3</v>
      </c>
      <c r="N52" s="2">
        <v>3</v>
      </c>
      <c r="O52" s="2">
        <v>2</v>
      </c>
      <c r="P52" s="2">
        <v>2</v>
      </c>
      <c r="Q52" s="2">
        <f t="shared" si="2"/>
        <v>10</v>
      </c>
      <c r="R52" s="4" t="str">
        <f t="shared" si="3"/>
        <v>10 (3/3/2/2)</v>
      </c>
    </row>
    <row r="53" spans="2:19" x14ac:dyDescent="0.3">
      <c r="B53" s="96" t="s">
        <v>224</v>
      </c>
      <c r="C53" s="191" t="s">
        <v>230</v>
      </c>
      <c r="D53" s="191">
        <v>1</v>
      </c>
      <c r="E53" s="191">
        <v>2</v>
      </c>
      <c r="F53" s="191">
        <v>3</v>
      </c>
      <c r="G53" s="97">
        <v>4</v>
      </c>
      <c r="I53" s="183">
        <v>7</v>
      </c>
      <c r="J53" s="184">
        <v>0.8</v>
      </c>
      <c r="L53" s="1" t="s">
        <v>9</v>
      </c>
      <c r="M53" s="2">
        <v>2</v>
      </c>
      <c r="N53" s="2">
        <v>3</v>
      </c>
      <c r="O53" s="2">
        <v>2</v>
      </c>
      <c r="P53" s="2">
        <v>2</v>
      </c>
      <c r="Q53" s="2">
        <f t="shared" si="2"/>
        <v>9</v>
      </c>
      <c r="R53" s="4" t="str">
        <f t="shared" si="3"/>
        <v>9 (2/3/2/2)</v>
      </c>
    </row>
    <row r="54" spans="2:19" x14ac:dyDescent="0.3">
      <c r="B54" s="1">
        <v>1</v>
      </c>
      <c r="C54" s="2">
        <f>$C$48</f>
        <v>5</v>
      </c>
      <c r="D54" s="181">
        <f>D$48</f>
        <v>7</v>
      </c>
      <c r="E54" s="181">
        <f t="shared" ref="E54:G58" si="4">E$48</f>
        <v>6</v>
      </c>
      <c r="F54" s="181">
        <f t="shared" si="4"/>
        <v>5</v>
      </c>
      <c r="G54" s="184">
        <f t="shared" si="4"/>
        <v>4</v>
      </c>
      <c r="I54" s="183">
        <v>8</v>
      </c>
      <c r="J54" s="184">
        <v>0.9</v>
      </c>
      <c r="L54" s="1" t="s">
        <v>10</v>
      </c>
      <c r="M54" s="2">
        <v>3</v>
      </c>
      <c r="N54" s="2">
        <v>2</v>
      </c>
      <c r="O54" s="2">
        <v>3</v>
      </c>
      <c r="P54" s="2">
        <v>3</v>
      </c>
      <c r="Q54" s="2">
        <f t="shared" si="2"/>
        <v>11</v>
      </c>
      <c r="R54" s="4" t="str">
        <f t="shared" si="3"/>
        <v>11 (3/2/3/3)</v>
      </c>
    </row>
    <row r="55" spans="2:19" ht="15" thickBot="1" x14ac:dyDescent="0.35">
      <c r="B55" s="1">
        <v>2</v>
      </c>
      <c r="C55" s="2">
        <f t="shared" ref="C55:C58" si="5">$C$48</f>
        <v>5</v>
      </c>
      <c r="D55" s="181">
        <f t="shared" ref="D55:D58" si="6">D$48</f>
        <v>7</v>
      </c>
      <c r="E55" s="181">
        <f t="shared" si="4"/>
        <v>6</v>
      </c>
      <c r="F55" s="181">
        <f t="shared" si="4"/>
        <v>5</v>
      </c>
      <c r="G55" s="184">
        <f t="shared" si="4"/>
        <v>4</v>
      </c>
      <c r="I55" s="132">
        <v>9</v>
      </c>
      <c r="J55" s="134">
        <v>1</v>
      </c>
      <c r="L55" s="1" t="s">
        <v>13</v>
      </c>
      <c r="M55" s="2">
        <v>1</v>
      </c>
      <c r="N55" s="2">
        <v>2</v>
      </c>
      <c r="O55" s="2">
        <v>2</v>
      </c>
      <c r="P55" s="2">
        <v>2</v>
      </c>
      <c r="Q55" s="2">
        <f t="shared" si="2"/>
        <v>7</v>
      </c>
      <c r="R55" s="4" t="str">
        <f t="shared" si="3"/>
        <v>7 (1/2/2/2)</v>
      </c>
    </row>
    <row r="56" spans="2:19" x14ac:dyDescent="0.3">
      <c r="B56" s="1">
        <v>3</v>
      </c>
      <c r="C56" s="2">
        <f t="shared" si="5"/>
        <v>5</v>
      </c>
      <c r="D56" s="181">
        <f t="shared" si="6"/>
        <v>7</v>
      </c>
      <c r="E56" s="181">
        <f t="shared" si="4"/>
        <v>6</v>
      </c>
      <c r="F56" s="181">
        <f t="shared" si="4"/>
        <v>5</v>
      </c>
      <c r="G56" s="184">
        <f t="shared" si="4"/>
        <v>4</v>
      </c>
      <c r="L56" s="1" t="s">
        <v>12</v>
      </c>
      <c r="M56" s="2">
        <v>1</v>
      </c>
      <c r="N56" s="2">
        <v>1</v>
      </c>
      <c r="O56" s="2">
        <v>2</v>
      </c>
      <c r="P56" s="2">
        <v>2</v>
      </c>
      <c r="Q56" s="2">
        <f t="shared" si="2"/>
        <v>6</v>
      </c>
      <c r="R56" s="4" t="str">
        <f t="shared" si="3"/>
        <v>6 (1/1/2/2)</v>
      </c>
    </row>
    <row r="57" spans="2:19" x14ac:dyDescent="0.3">
      <c r="B57" s="1">
        <v>4</v>
      </c>
      <c r="C57" s="2">
        <f t="shared" si="5"/>
        <v>5</v>
      </c>
      <c r="D57" s="181">
        <f t="shared" si="6"/>
        <v>7</v>
      </c>
      <c r="E57" s="181">
        <f t="shared" si="4"/>
        <v>6</v>
      </c>
      <c r="F57" s="181">
        <f t="shared" si="4"/>
        <v>5</v>
      </c>
      <c r="G57" s="184">
        <f t="shared" si="4"/>
        <v>4</v>
      </c>
      <c r="L57" s="1" t="s">
        <v>11</v>
      </c>
      <c r="M57" s="2">
        <v>2</v>
      </c>
      <c r="N57" s="2">
        <v>1</v>
      </c>
      <c r="O57" s="2">
        <v>2</v>
      </c>
      <c r="P57" s="2">
        <v>3</v>
      </c>
      <c r="Q57" s="2">
        <f t="shared" si="2"/>
        <v>8</v>
      </c>
      <c r="R57" s="4" t="str">
        <f t="shared" si="3"/>
        <v>8 (2/1/2/3)</v>
      </c>
    </row>
    <row r="58" spans="2:19" ht="15" thickBot="1" x14ac:dyDescent="0.35">
      <c r="B58" s="1">
        <v>5</v>
      </c>
      <c r="C58" s="2">
        <f t="shared" si="5"/>
        <v>5</v>
      </c>
      <c r="D58" s="181">
        <f t="shared" si="6"/>
        <v>7</v>
      </c>
      <c r="E58" s="181">
        <f t="shared" si="4"/>
        <v>6</v>
      </c>
      <c r="F58" s="181">
        <f t="shared" si="4"/>
        <v>5</v>
      </c>
      <c r="G58" s="184">
        <f t="shared" si="4"/>
        <v>4</v>
      </c>
      <c r="H58" s="22"/>
      <c r="I58" s="337" t="s">
        <v>267</v>
      </c>
      <c r="J58" s="337"/>
      <c r="L58" s="5" t="s">
        <v>54</v>
      </c>
      <c r="M58" s="88">
        <v>1</v>
      </c>
      <c r="N58" s="88">
        <v>1</v>
      </c>
      <c r="O58" s="88">
        <v>1</v>
      </c>
      <c r="P58" s="88">
        <v>2</v>
      </c>
      <c r="Q58" s="88">
        <f t="shared" si="2"/>
        <v>5</v>
      </c>
      <c r="R58" s="6" t="str">
        <f t="shared" si="3"/>
        <v>5 (1/1/1/2)</v>
      </c>
    </row>
    <row r="59" spans="2:19" x14ac:dyDescent="0.3">
      <c r="B59" s="1">
        <v>6</v>
      </c>
      <c r="C59" s="2">
        <f>$C$49</f>
        <v>4</v>
      </c>
      <c r="D59" s="181">
        <f>D$49</f>
        <v>9</v>
      </c>
      <c r="E59" s="181">
        <f t="shared" ref="E59:G63" si="7">E$49</f>
        <v>8</v>
      </c>
      <c r="F59" s="181">
        <f t="shared" si="7"/>
        <v>6</v>
      </c>
      <c r="G59" s="184">
        <f t="shared" si="7"/>
        <v>5</v>
      </c>
      <c r="I59" s="335" t="s">
        <v>239</v>
      </c>
      <c r="J59" s="336"/>
    </row>
    <row r="60" spans="2:19" ht="15" thickBot="1" x14ac:dyDescent="0.35">
      <c r="B60" s="1">
        <v>7</v>
      </c>
      <c r="C60" s="2">
        <f t="shared" ref="C60:C63" si="8">$C$49</f>
        <v>4</v>
      </c>
      <c r="D60" s="181">
        <f t="shared" ref="D60:D63" si="9">D$49</f>
        <v>9</v>
      </c>
      <c r="E60" s="181">
        <f t="shared" si="7"/>
        <v>8</v>
      </c>
      <c r="F60" s="181">
        <f t="shared" si="7"/>
        <v>6</v>
      </c>
      <c r="G60" s="184">
        <f t="shared" si="7"/>
        <v>5</v>
      </c>
      <c r="I60" s="226" t="s">
        <v>46</v>
      </c>
      <c r="J60" s="227" t="s">
        <v>240</v>
      </c>
      <c r="L60" s="324" t="s">
        <v>430</v>
      </c>
      <c r="M60" s="324"/>
      <c r="N60" s="95"/>
      <c r="Q60" t="s">
        <v>234</v>
      </c>
      <c r="R60" t="s">
        <v>420</v>
      </c>
      <c r="S60" t="s">
        <v>429</v>
      </c>
    </row>
    <row r="61" spans="2:19" ht="15" thickBot="1" x14ac:dyDescent="0.35">
      <c r="B61" s="1">
        <v>8</v>
      </c>
      <c r="C61" s="2">
        <f t="shared" si="8"/>
        <v>4</v>
      </c>
      <c r="D61" s="181">
        <f t="shared" si="9"/>
        <v>9</v>
      </c>
      <c r="E61" s="181">
        <f t="shared" si="7"/>
        <v>8</v>
      </c>
      <c r="F61" s="181">
        <f t="shared" si="7"/>
        <v>6</v>
      </c>
      <c r="G61" s="184">
        <f t="shared" si="7"/>
        <v>5</v>
      </c>
      <c r="I61" s="226">
        <v>2</v>
      </c>
      <c r="J61" s="227">
        <v>0</v>
      </c>
      <c r="L61" s="236" t="s">
        <v>273</v>
      </c>
      <c r="M61" s="237" t="s">
        <v>88</v>
      </c>
      <c r="N61" s="234"/>
      <c r="Q61">
        <v>1</v>
      </c>
      <c r="R61">
        <v>1</v>
      </c>
      <c r="S61">
        <f>R61*$S$73</f>
        <v>3</v>
      </c>
    </row>
    <row r="62" spans="2:19" x14ac:dyDescent="0.3">
      <c r="B62" s="1">
        <v>9</v>
      </c>
      <c r="C62" s="2">
        <f t="shared" si="8"/>
        <v>4</v>
      </c>
      <c r="D62" s="181">
        <f t="shared" si="9"/>
        <v>9</v>
      </c>
      <c r="E62" s="181">
        <f t="shared" si="7"/>
        <v>8</v>
      </c>
      <c r="F62" s="181">
        <f t="shared" si="7"/>
        <v>6</v>
      </c>
      <c r="G62" s="184">
        <f t="shared" si="7"/>
        <v>5</v>
      </c>
      <c r="I62" s="226">
        <v>3</v>
      </c>
      <c r="J62" s="227">
        <v>2</v>
      </c>
      <c r="L62" s="129">
        <v>0</v>
      </c>
      <c r="M62" s="101">
        <v>12</v>
      </c>
      <c r="N62" s="2"/>
      <c r="Q62">
        <v>2</v>
      </c>
      <c r="R62">
        <v>2</v>
      </c>
      <c r="S62">
        <f t="shared" ref="S62:S71" si="10">R62*$S$73</f>
        <v>6</v>
      </c>
    </row>
    <row r="63" spans="2:19" x14ac:dyDescent="0.3">
      <c r="B63" s="1">
        <v>10</v>
      </c>
      <c r="C63" s="2">
        <f t="shared" si="8"/>
        <v>4</v>
      </c>
      <c r="D63" s="181">
        <f t="shared" si="9"/>
        <v>9</v>
      </c>
      <c r="E63" s="181">
        <f t="shared" si="7"/>
        <v>8</v>
      </c>
      <c r="F63" s="181">
        <f t="shared" si="7"/>
        <v>6</v>
      </c>
      <c r="G63" s="184">
        <f t="shared" si="7"/>
        <v>5</v>
      </c>
      <c r="I63" s="228">
        <v>4</v>
      </c>
      <c r="J63" s="227">
        <v>4</v>
      </c>
      <c r="L63" s="275">
        <v>0.1</v>
      </c>
      <c r="M63" s="4">
        <v>12</v>
      </c>
      <c r="N63" s="2"/>
      <c r="Q63">
        <v>3</v>
      </c>
      <c r="R63">
        <v>3</v>
      </c>
      <c r="S63">
        <f t="shared" si="10"/>
        <v>9</v>
      </c>
    </row>
    <row r="64" spans="2:19" x14ac:dyDescent="0.3">
      <c r="B64" s="1">
        <v>11</v>
      </c>
      <c r="C64" s="2">
        <f>$C$50</f>
        <v>3</v>
      </c>
      <c r="D64" s="181">
        <f>D$50</f>
        <v>10</v>
      </c>
      <c r="E64" s="181">
        <f t="shared" ref="E64:G68" si="11">E$50</f>
        <v>9</v>
      </c>
      <c r="F64" s="181">
        <f t="shared" si="11"/>
        <v>7</v>
      </c>
      <c r="G64" s="184">
        <f t="shared" si="11"/>
        <v>6</v>
      </c>
      <c r="I64" s="226">
        <v>5</v>
      </c>
      <c r="J64" s="227">
        <v>6</v>
      </c>
      <c r="L64" s="275">
        <v>0.2</v>
      </c>
      <c r="M64" s="4">
        <v>11</v>
      </c>
      <c r="N64" s="2"/>
      <c r="O64">
        <f>AVERAGE(Q51:Q58)</f>
        <v>7.875</v>
      </c>
      <c r="Q64">
        <v>4</v>
      </c>
      <c r="R64">
        <v>4</v>
      </c>
      <c r="S64">
        <f t="shared" si="10"/>
        <v>12</v>
      </c>
    </row>
    <row r="65" spans="2:19" x14ac:dyDescent="0.3">
      <c r="B65" s="1">
        <v>12</v>
      </c>
      <c r="C65" s="2">
        <f t="shared" ref="C65:C68" si="12">$C$50</f>
        <v>3</v>
      </c>
      <c r="D65" s="181">
        <f t="shared" ref="D65:D68" si="13">D$50</f>
        <v>10</v>
      </c>
      <c r="E65" s="181">
        <f t="shared" si="11"/>
        <v>9</v>
      </c>
      <c r="F65" s="181">
        <f t="shared" si="11"/>
        <v>7</v>
      </c>
      <c r="G65" s="184">
        <f t="shared" si="11"/>
        <v>6</v>
      </c>
      <c r="I65" s="226">
        <v>6</v>
      </c>
      <c r="J65" s="227">
        <v>8</v>
      </c>
      <c r="L65" s="275">
        <v>0.3</v>
      </c>
      <c r="M65" s="4">
        <v>10</v>
      </c>
      <c r="N65" s="2"/>
      <c r="Q65">
        <v>5</v>
      </c>
      <c r="R65">
        <v>5</v>
      </c>
      <c r="S65">
        <f t="shared" si="10"/>
        <v>15</v>
      </c>
    </row>
    <row r="66" spans="2:19" x14ac:dyDescent="0.3">
      <c r="B66" s="1">
        <v>13</v>
      </c>
      <c r="C66" s="2">
        <f t="shared" si="12"/>
        <v>3</v>
      </c>
      <c r="D66" s="181">
        <f t="shared" si="13"/>
        <v>10</v>
      </c>
      <c r="E66" s="181">
        <f t="shared" si="11"/>
        <v>9</v>
      </c>
      <c r="F66" s="181">
        <f t="shared" si="11"/>
        <v>7</v>
      </c>
      <c r="G66" s="184">
        <f t="shared" si="11"/>
        <v>6</v>
      </c>
      <c r="I66" s="228">
        <v>7</v>
      </c>
      <c r="J66" s="227">
        <v>10</v>
      </c>
      <c r="L66" s="275">
        <v>0.4</v>
      </c>
      <c r="M66" s="4">
        <v>9</v>
      </c>
      <c r="N66" s="2"/>
      <c r="Q66">
        <v>6</v>
      </c>
      <c r="R66">
        <v>6</v>
      </c>
      <c r="S66">
        <f t="shared" si="10"/>
        <v>18</v>
      </c>
    </row>
    <row r="67" spans="2:19" x14ac:dyDescent="0.3">
      <c r="B67" s="1">
        <v>14</v>
      </c>
      <c r="C67" s="2">
        <f t="shared" si="12"/>
        <v>3</v>
      </c>
      <c r="D67" s="181">
        <f t="shared" si="13"/>
        <v>10</v>
      </c>
      <c r="E67" s="181">
        <f t="shared" si="11"/>
        <v>9</v>
      </c>
      <c r="F67" s="181">
        <f t="shared" si="11"/>
        <v>7</v>
      </c>
      <c r="G67" s="184">
        <f t="shared" si="11"/>
        <v>6</v>
      </c>
      <c r="I67" s="226">
        <v>8</v>
      </c>
      <c r="J67" s="227">
        <v>15</v>
      </c>
      <c r="L67" s="275">
        <v>0.5</v>
      </c>
      <c r="M67" s="4">
        <v>8</v>
      </c>
      <c r="N67" s="2"/>
      <c r="Q67">
        <v>7</v>
      </c>
      <c r="R67">
        <v>7</v>
      </c>
      <c r="S67">
        <f t="shared" si="10"/>
        <v>21</v>
      </c>
    </row>
    <row r="68" spans="2:19" x14ac:dyDescent="0.3">
      <c r="B68" s="1">
        <v>15</v>
      </c>
      <c r="C68" s="2">
        <f t="shared" si="12"/>
        <v>3</v>
      </c>
      <c r="D68" s="181">
        <f t="shared" si="13"/>
        <v>10</v>
      </c>
      <c r="E68" s="181">
        <f t="shared" si="11"/>
        <v>9</v>
      </c>
      <c r="F68" s="181">
        <f t="shared" si="11"/>
        <v>7</v>
      </c>
      <c r="G68" s="184">
        <f t="shared" si="11"/>
        <v>6</v>
      </c>
      <c r="I68" s="226">
        <v>9</v>
      </c>
      <c r="J68" s="227">
        <v>20</v>
      </c>
      <c r="L68" s="275">
        <v>0.6</v>
      </c>
      <c r="M68" s="4">
        <v>7</v>
      </c>
      <c r="N68" s="2"/>
      <c r="O68">
        <f>O64/4.5</f>
        <v>1.75</v>
      </c>
      <c r="Q68">
        <v>8</v>
      </c>
      <c r="R68">
        <v>8</v>
      </c>
      <c r="S68">
        <f t="shared" si="10"/>
        <v>24</v>
      </c>
    </row>
    <row r="69" spans="2:19" x14ac:dyDescent="0.3">
      <c r="B69" s="1">
        <v>16</v>
      </c>
      <c r="C69" s="2">
        <f>$C$51</f>
        <v>2</v>
      </c>
      <c r="D69" s="181">
        <f>D$51</f>
        <v>11</v>
      </c>
      <c r="E69" s="181">
        <f t="shared" ref="E69:G74" si="14">E$51</f>
        <v>10</v>
      </c>
      <c r="F69" s="181">
        <f t="shared" si="14"/>
        <v>8</v>
      </c>
      <c r="G69" s="184">
        <f t="shared" si="14"/>
        <v>7</v>
      </c>
      <c r="I69" s="228">
        <v>10</v>
      </c>
      <c r="J69" s="227">
        <v>25</v>
      </c>
      <c r="L69" s="275">
        <v>0.7</v>
      </c>
      <c r="M69" s="4">
        <v>6</v>
      </c>
      <c r="N69" s="2"/>
      <c r="Q69">
        <v>9</v>
      </c>
      <c r="R69">
        <v>9</v>
      </c>
      <c r="S69">
        <f t="shared" si="10"/>
        <v>27</v>
      </c>
    </row>
    <row r="70" spans="2:19" x14ac:dyDescent="0.3">
      <c r="B70" s="1">
        <v>17</v>
      </c>
      <c r="C70" s="2">
        <f t="shared" ref="C70:C74" si="15">$C$51</f>
        <v>2</v>
      </c>
      <c r="D70" s="181">
        <f t="shared" ref="D70:D74" si="16">D$51</f>
        <v>11</v>
      </c>
      <c r="E70" s="181">
        <f t="shared" si="14"/>
        <v>10</v>
      </c>
      <c r="F70" s="181">
        <f t="shared" si="14"/>
        <v>8</v>
      </c>
      <c r="G70" s="184">
        <f t="shared" si="14"/>
        <v>7</v>
      </c>
      <c r="I70" s="226">
        <v>11</v>
      </c>
      <c r="J70" s="227">
        <v>30</v>
      </c>
      <c r="L70" s="275">
        <v>0.8</v>
      </c>
      <c r="M70" s="4">
        <v>5</v>
      </c>
      <c r="N70" s="2"/>
      <c r="Q70">
        <v>10</v>
      </c>
      <c r="R70">
        <v>10</v>
      </c>
      <c r="S70">
        <f t="shared" si="10"/>
        <v>30</v>
      </c>
    </row>
    <row r="71" spans="2:19" ht="15" thickBot="1" x14ac:dyDescent="0.35">
      <c r="B71" s="1">
        <v>18</v>
      </c>
      <c r="C71" s="2">
        <f t="shared" si="15"/>
        <v>2</v>
      </c>
      <c r="D71" s="181">
        <f t="shared" si="16"/>
        <v>11</v>
      </c>
      <c r="E71" s="181">
        <f t="shared" si="14"/>
        <v>10</v>
      </c>
      <c r="F71" s="181">
        <f t="shared" si="14"/>
        <v>8</v>
      </c>
      <c r="G71" s="184">
        <f t="shared" si="14"/>
        <v>7</v>
      </c>
      <c r="I71" s="229">
        <v>12</v>
      </c>
      <c r="J71" s="230" t="s">
        <v>241</v>
      </c>
      <c r="L71" s="275">
        <v>0.9</v>
      </c>
      <c r="M71" s="4">
        <v>4</v>
      </c>
      <c r="N71" s="2"/>
      <c r="Q71">
        <v>11</v>
      </c>
      <c r="R71">
        <v>11</v>
      </c>
      <c r="S71">
        <f t="shared" si="10"/>
        <v>33</v>
      </c>
    </row>
    <row r="72" spans="2:19" ht="15" thickBot="1" x14ac:dyDescent="0.35">
      <c r="B72" s="1">
        <v>19</v>
      </c>
      <c r="C72" s="2">
        <f t="shared" si="15"/>
        <v>2</v>
      </c>
      <c r="D72" s="181">
        <f t="shared" si="16"/>
        <v>11</v>
      </c>
      <c r="E72" s="181">
        <f t="shared" si="14"/>
        <v>10</v>
      </c>
      <c r="F72" s="181">
        <f t="shared" si="14"/>
        <v>8</v>
      </c>
      <c r="G72" s="184">
        <f t="shared" si="14"/>
        <v>7</v>
      </c>
      <c r="L72" s="276">
        <v>1</v>
      </c>
      <c r="M72" s="6">
        <v>3</v>
      </c>
      <c r="N72" s="2"/>
    </row>
    <row r="73" spans="2:19" x14ac:dyDescent="0.3">
      <c r="B73" s="1">
        <v>20</v>
      </c>
      <c r="C73" s="2">
        <f t="shared" si="15"/>
        <v>2</v>
      </c>
      <c r="D73" s="181">
        <f t="shared" si="16"/>
        <v>11</v>
      </c>
      <c r="E73" s="181">
        <f t="shared" si="14"/>
        <v>10</v>
      </c>
      <c r="F73" s="181">
        <f t="shared" si="14"/>
        <v>8</v>
      </c>
      <c r="G73" s="184">
        <f t="shared" si="14"/>
        <v>7</v>
      </c>
      <c r="R73" t="s">
        <v>485</v>
      </c>
      <c r="S73" s="289">
        <v>3</v>
      </c>
    </row>
    <row r="74" spans="2:19" ht="15" thickBot="1" x14ac:dyDescent="0.35">
      <c r="B74" s="5">
        <v>21</v>
      </c>
      <c r="C74" s="88">
        <f t="shared" si="15"/>
        <v>2</v>
      </c>
      <c r="D74" s="133">
        <f t="shared" si="16"/>
        <v>11</v>
      </c>
      <c r="E74" s="133">
        <f t="shared" si="14"/>
        <v>10</v>
      </c>
      <c r="F74" s="133">
        <f t="shared" si="14"/>
        <v>8</v>
      </c>
      <c r="G74" s="134">
        <f t="shared" si="14"/>
        <v>7</v>
      </c>
    </row>
  </sheetData>
  <sortState ref="L63:M72">
    <sortCondition ref="L63"/>
  </sortState>
  <mergeCells count="17">
    <mergeCell ref="L49:R49"/>
    <mergeCell ref="L22:O22"/>
    <mergeCell ref="L34:M34"/>
    <mergeCell ref="O34:Q34"/>
    <mergeCell ref="L60:M60"/>
    <mergeCell ref="B2:F2"/>
    <mergeCell ref="C34:E34"/>
    <mergeCell ref="B34:B35"/>
    <mergeCell ref="F34:I34"/>
    <mergeCell ref="B33:I33"/>
    <mergeCell ref="H11:J11"/>
    <mergeCell ref="D46:G46"/>
    <mergeCell ref="I45:J45"/>
    <mergeCell ref="B45:G45"/>
    <mergeCell ref="B52:G52"/>
    <mergeCell ref="I59:J59"/>
    <mergeCell ref="I58:J58"/>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53"/>
  <sheetViews>
    <sheetView topLeftCell="A13" zoomScale="60" zoomScaleNormal="60" workbookViewId="0">
      <selection activeCell="I52" sqref="I52"/>
    </sheetView>
  </sheetViews>
  <sheetFormatPr defaultRowHeight="14.4" x14ac:dyDescent="0.3"/>
  <cols>
    <col min="1" max="1" width="39.88671875" bestFit="1" customWidth="1"/>
    <col min="2" max="3" width="18.5546875" customWidth="1"/>
    <col min="4" max="4" width="15.5546875" bestFit="1" customWidth="1"/>
    <col min="5" max="5" width="16.109375" customWidth="1"/>
    <col min="15" max="15" width="28" bestFit="1" customWidth="1"/>
    <col min="18" max="18" width="12.6640625" customWidth="1"/>
    <col min="19" max="19" width="15.33203125" customWidth="1"/>
    <col min="20" max="20" width="20.33203125" customWidth="1"/>
  </cols>
  <sheetData>
    <row r="1" spans="1:20" ht="15" thickBot="1" x14ac:dyDescent="0.35">
      <c r="C1" s="326" t="s">
        <v>6</v>
      </c>
      <c r="D1" s="326"/>
      <c r="E1" s="326"/>
    </row>
    <row r="2" spans="1:20" ht="18" x14ac:dyDescent="0.35">
      <c r="C2" s="117" t="s">
        <v>3</v>
      </c>
      <c r="D2" s="117" t="s">
        <v>4</v>
      </c>
      <c r="E2" s="117" t="s">
        <v>5</v>
      </c>
      <c r="O2" s="354" t="s">
        <v>132</v>
      </c>
      <c r="P2" s="355"/>
      <c r="Q2" s="355"/>
      <c r="R2" s="355"/>
      <c r="S2" s="355"/>
      <c r="T2" s="356"/>
    </row>
    <row r="3" spans="1:20" ht="15.75" customHeight="1" x14ac:dyDescent="0.3">
      <c r="A3" t="s">
        <v>158</v>
      </c>
      <c r="B3" s="116" t="s">
        <v>0</v>
      </c>
      <c r="C3" s="117">
        <v>120</v>
      </c>
      <c r="D3" s="117">
        <v>150</v>
      </c>
      <c r="E3" s="117">
        <v>200</v>
      </c>
      <c r="O3" s="57" t="s">
        <v>133</v>
      </c>
      <c r="P3" s="50" t="s">
        <v>125</v>
      </c>
      <c r="Q3" s="51" t="s">
        <v>31</v>
      </c>
      <c r="R3" s="50" t="s">
        <v>0</v>
      </c>
      <c r="S3" s="50" t="s">
        <v>1</v>
      </c>
      <c r="T3" s="52" t="s">
        <v>100</v>
      </c>
    </row>
    <row r="4" spans="1:20" ht="15.6" x14ac:dyDescent="0.3">
      <c r="B4" s="116" t="s">
        <v>1</v>
      </c>
      <c r="C4" s="117">
        <v>20</v>
      </c>
      <c r="D4" s="117">
        <v>50</v>
      </c>
      <c r="E4" s="117">
        <v>100</v>
      </c>
      <c r="O4" s="53" t="s">
        <v>8</v>
      </c>
      <c r="P4" s="58">
        <v>12</v>
      </c>
      <c r="Q4" s="58">
        <f>ROUND(0.33*P4,0)</f>
        <v>4</v>
      </c>
      <c r="R4" s="58">
        <v>4</v>
      </c>
      <c r="S4" s="58">
        <v>6</v>
      </c>
      <c r="T4" s="59">
        <v>5</v>
      </c>
    </row>
    <row r="5" spans="1:20" ht="15.6" x14ac:dyDescent="0.3">
      <c r="B5" s="116" t="s">
        <v>157</v>
      </c>
      <c r="C5" s="117">
        <v>10</v>
      </c>
      <c r="D5" s="117">
        <v>20</v>
      </c>
      <c r="E5" s="117">
        <v>30</v>
      </c>
      <c r="O5" s="53" t="s">
        <v>7</v>
      </c>
      <c r="P5" s="58">
        <v>14</v>
      </c>
      <c r="Q5" s="58">
        <f>ROUND(0.33*P5,0)</f>
        <v>5</v>
      </c>
      <c r="R5" s="58">
        <v>9</v>
      </c>
      <c r="S5" s="58">
        <v>5</v>
      </c>
      <c r="T5" s="59">
        <v>10</v>
      </c>
    </row>
    <row r="6" spans="1:20" ht="15.6" x14ac:dyDescent="0.3">
      <c r="B6" s="116" t="s">
        <v>2</v>
      </c>
      <c r="C6" s="117">
        <v>2</v>
      </c>
      <c r="D6" s="117">
        <v>3</v>
      </c>
      <c r="E6" s="117">
        <v>4</v>
      </c>
      <c r="O6" s="53" t="s">
        <v>9</v>
      </c>
      <c r="P6" s="58">
        <v>14</v>
      </c>
      <c r="Q6" s="58">
        <f>ROUND(0.33*P6,0)</f>
        <v>5</v>
      </c>
      <c r="R6" s="58">
        <v>7</v>
      </c>
      <c r="S6" s="58">
        <v>5</v>
      </c>
      <c r="T6" s="59">
        <v>6</v>
      </c>
    </row>
    <row r="7" spans="1:20" ht="15.6" x14ac:dyDescent="0.3">
      <c r="B7" s="358" t="s">
        <v>160</v>
      </c>
      <c r="C7" s="358"/>
      <c r="D7" s="358"/>
      <c r="E7" s="358"/>
      <c r="O7" s="53" t="s">
        <v>10</v>
      </c>
      <c r="P7" s="58">
        <v>14</v>
      </c>
      <c r="Q7" s="58">
        <v>6</v>
      </c>
      <c r="R7" s="58">
        <v>6</v>
      </c>
      <c r="S7" s="58">
        <v>4</v>
      </c>
      <c r="T7" s="59">
        <v>8</v>
      </c>
    </row>
    <row r="8" spans="1:20" ht="15.6" x14ac:dyDescent="0.3">
      <c r="C8" s="326" t="s">
        <v>6</v>
      </c>
      <c r="D8" s="326"/>
      <c r="E8" s="326"/>
      <c r="O8" s="53" t="s">
        <v>13</v>
      </c>
      <c r="P8" s="58">
        <v>8</v>
      </c>
      <c r="Q8" s="58">
        <f>ROUND(0.33*P8,0)</f>
        <v>3</v>
      </c>
      <c r="R8" s="58">
        <v>5</v>
      </c>
      <c r="S8" s="58">
        <v>2</v>
      </c>
      <c r="T8" s="59">
        <v>4</v>
      </c>
    </row>
    <row r="9" spans="1:20" ht="15.6" x14ac:dyDescent="0.3">
      <c r="B9" s="18"/>
      <c r="C9" s="115" t="s">
        <v>3</v>
      </c>
      <c r="D9" s="115" t="s">
        <v>4</v>
      </c>
      <c r="E9" s="115" t="s">
        <v>5</v>
      </c>
      <c r="O9" s="53" t="s">
        <v>12</v>
      </c>
      <c r="P9" s="58">
        <v>28</v>
      </c>
      <c r="Q9" s="58">
        <f>ROUND(0.33*P9,0)</f>
        <v>9</v>
      </c>
      <c r="R9" s="58">
        <v>10</v>
      </c>
      <c r="S9" s="58">
        <v>3</v>
      </c>
      <c r="T9" s="59">
        <v>3</v>
      </c>
    </row>
    <row r="10" spans="1:20" ht="15.6" x14ac:dyDescent="0.3">
      <c r="A10" t="s">
        <v>159</v>
      </c>
      <c r="B10" s="116" t="s">
        <v>0</v>
      </c>
      <c r="C10" s="115">
        <v>20</v>
      </c>
      <c r="D10" s="115">
        <v>50</v>
      </c>
      <c r="E10" s="115">
        <v>50</v>
      </c>
      <c r="O10" s="53" t="s">
        <v>11</v>
      </c>
      <c r="P10" s="58">
        <v>8</v>
      </c>
      <c r="Q10" s="58">
        <f>ROUND(0.33*P10,0)</f>
        <v>3</v>
      </c>
      <c r="R10" s="58">
        <v>1</v>
      </c>
      <c r="S10" s="58">
        <v>8</v>
      </c>
      <c r="T10" s="59">
        <v>4</v>
      </c>
    </row>
    <row r="11" spans="1:20" ht="16.2" thickBot="1" x14ac:dyDescent="0.35">
      <c r="B11" s="116" t="s">
        <v>1</v>
      </c>
      <c r="C11" s="115">
        <v>120</v>
      </c>
      <c r="D11" s="115">
        <v>200</v>
      </c>
      <c r="E11" s="115">
        <v>150</v>
      </c>
      <c r="O11" s="54" t="s">
        <v>54</v>
      </c>
      <c r="P11" s="60">
        <v>8</v>
      </c>
      <c r="Q11" s="60">
        <f t="shared" ref="Q11" si="0">ROUND(0.33*P11,0)</f>
        <v>3</v>
      </c>
      <c r="R11" s="61"/>
      <c r="S11" s="61"/>
      <c r="T11" s="62"/>
    </row>
    <row r="12" spans="1:20" x14ac:dyDescent="0.3">
      <c r="B12" s="116" t="s">
        <v>157</v>
      </c>
      <c r="C12" s="115">
        <v>10</v>
      </c>
      <c r="D12" s="115">
        <v>50</v>
      </c>
      <c r="E12" s="115">
        <v>80</v>
      </c>
    </row>
    <row r="13" spans="1:20" x14ac:dyDescent="0.3">
      <c r="B13" s="116" t="s">
        <v>2</v>
      </c>
      <c r="C13" s="115">
        <v>2</v>
      </c>
      <c r="D13" s="115">
        <v>3</v>
      </c>
      <c r="E13" s="115">
        <v>4</v>
      </c>
    </row>
    <row r="14" spans="1:20" x14ac:dyDescent="0.3">
      <c r="B14" s="358" t="s">
        <v>161</v>
      </c>
      <c r="C14" s="358"/>
      <c r="D14" s="358"/>
      <c r="E14" s="358"/>
    </row>
    <row r="16" spans="1:20" x14ac:dyDescent="0.3">
      <c r="C16" s="357" t="s">
        <v>6</v>
      </c>
      <c r="D16" s="357"/>
      <c r="E16" s="357"/>
    </row>
    <row r="17" spans="1:5" x14ac:dyDescent="0.3">
      <c r="B17" s="18"/>
      <c r="C17" s="115" t="s">
        <v>3</v>
      </c>
      <c r="D17" s="115" t="s">
        <v>4</v>
      </c>
      <c r="E17" s="115" t="s">
        <v>5</v>
      </c>
    </row>
    <row r="18" spans="1:5" x14ac:dyDescent="0.3">
      <c r="A18" t="s">
        <v>51</v>
      </c>
      <c r="B18" s="116" t="s">
        <v>0</v>
      </c>
      <c r="C18" s="115">
        <v>20</v>
      </c>
      <c r="D18" s="115">
        <v>20</v>
      </c>
      <c r="E18" s="115">
        <v>20</v>
      </c>
    </row>
    <row r="19" spans="1:5" x14ac:dyDescent="0.3">
      <c r="B19" s="116" t="s">
        <v>1</v>
      </c>
      <c r="C19" s="115">
        <v>20</v>
      </c>
      <c r="D19" s="115">
        <v>20</v>
      </c>
      <c r="E19" s="115">
        <v>20</v>
      </c>
    </row>
    <row r="20" spans="1:5" x14ac:dyDescent="0.3">
      <c r="B20" s="116" t="s">
        <v>157</v>
      </c>
      <c r="C20" s="115">
        <v>10</v>
      </c>
      <c r="D20" s="115">
        <v>10</v>
      </c>
      <c r="E20" s="115">
        <v>10</v>
      </c>
    </row>
    <row r="21" spans="1:5" x14ac:dyDescent="0.3">
      <c r="B21" s="116" t="s">
        <v>2</v>
      </c>
      <c r="C21" s="115">
        <v>1</v>
      </c>
      <c r="D21" s="115">
        <v>2</v>
      </c>
      <c r="E21" s="115">
        <v>3</v>
      </c>
    </row>
    <row r="22" spans="1:5" x14ac:dyDescent="0.3">
      <c r="B22" s="358" t="s">
        <v>103</v>
      </c>
      <c r="C22" s="358"/>
      <c r="D22" s="358"/>
      <c r="E22" s="358"/>
    </row>
    <row r="24" spans="1:5" x14ac:dyDescent="0.3">
      <c r="A24" s="15" t="s">
        <v>49</v>
      </c>
      <c r="C24" s="326" t="s">
        <v>6</v>
      </c>
      <c r="D24" s="326"/>
      <c r="E24" s="326"/>
    </row>
    <row r="25" spans="1:5" x14ac:dyDescent="0.3">
      <c r="B25" s="18"/>
      <c r="C25" s="115" t="s">
        <v>3</v>
      </c>
      <c r="D25" s="115" t="s">
        <v>4</v>
      </c>
      <c r="E25" s="115" t="s">
        <v>5</v>
      </c>
    </row>
    <row r="26" spans="1:5" x14ac:dyDescent="0.3">
      <c r="A26" s="15"/>
      <c r="B26" s="116" t="s">
        <v>0</v>
      </c>
      <c r="C26" s="115">
        <v>80</v>
      </c>
      <c r="D26" s="115">
        <v>50</v>
      </c>
      <c r="E26" s="115">
        <v>120</v>
      </c>
    </row>
    <row r="27" spans="1:5" x14ac:dyDescent="0.3">
      <c r="A27" s="15"/>
      <c r="B27" s="116" t="s">
        <v>1</v>
      </c>
      <c r="C27" s="115">
        <v>20</v>
      </c>
      <c r="D27" s="115">
        <v>20</v>
      </c>
      <c r="E27" s="115">
        <v>20</v>
      </c>
    </row>
    <row r="28" spans="1:5" x14ac:dyDescent="0.3">
      <c r="A28" s="15"/>
      <c r="B28" s="116" t="s">
        <v>157</v>
      </c>
      <c r="C28" s="115">
        <v>100</v>
      </c>
      <c r="D28" s="115">
        <v>50</v>
      </c>
      <c r="E28" s="115">
        <v>150</v>
      </c>
    </row>
    <row r="29" spans="1:5" x14ac:dyDescent="0.3">
      <c r="B29" s="116" t="s">
        <v>2</v>
      </c>
      <c r="C29" s="115">
        <v>2</v>
      </c>
      <c r="D29" s="115">
        <v>3</v>
      </c>
      <c r="E29" s="115">
        <v>3</v>
      </c>
    </row>
    <row r="30" spans="1:5" x14ac:dyDescent="0.3">
      <c r="B30" s="358" t="s">
        <v>104</v>
      </c>
      <c r="C30" s="358"/>
      <c r="D30" s="358"/>
      <c r="E30" s="358"/>
    </row>
    <row r="32" spans="1:5" x14ac:dyDescent="0.3">
      <c r="A32" t="s">
        <v>50</v>
      </c>
      <c r="C32" s="326" t="s">
        <v>6</v>
      </c>
      <c r="D32" s="326"/>
      <c r="E32" s="326"/>
    </row>
    <row r="33" spans="1:19" x14ac:dyDescent="0.3">
      <c r="B33" s="18"/>
      <c r="C33" s="115" t="s">
        <v>3</v>
      </c>
      <c r="D33" s="115" t="s">
        <v>4</v>
      </c>
      <c r="E33" s="115" t="s">
        <v>5</v>
      </c>
    </row>
    <row r="34" spans="1:19" x14ac:dyDescent="0.3">
      <c r="B34" s="116" t="s">
        <v>0</v>
      </c>
      <c r="C34" s="115">
        <v>20</v>
      </c>
      <c r="D34" s="115">
        <v>40</v>
      </c>
      <c r="E34" s="115">
        <v>80</v>
      </c>
    </row>
    <row r="35" spans="1:19" x14ac:dyDescent="0.3">
      <c r="B35" s="116" t="s">
        <v>1</v>
      </c>
      <c r="C35" s="115">
        <v>80</v>
      </c>
      <c r="D35" s="115">
        <v>100</v>
      </c>
      <c r="E35" s="115">
        <v>100</v>
      </c>
    </row>
    <row r="36" spans="1:19" x14ac:dyDescent="0.3">
      <c r="B36" s="116" t="s">
        <v>157</v>
      </c>
      <c r="C36" s="115">
        <v>20</v>
      </c>
      <c r="D36" s="115">
        <v>50</v>
      </c>
      <c r="E36" s="115">
        <v>100</v>
      </c>
    </row>
    <row r="37" spans="1:19" x14ac:dyDescent="0.3">
      <c r="B37" s="116" t="s">
        <v>2</v>
      </c>
      <c r="C37" s="115">
        <v>3</v>
      </c>
      <c r="D37" s="115">
        <v>4</v>
      </c>
      <c r="E37" s="115">
        <v>4</v>
      </c>
    </row>
    <row r="38" spans="1:19" x14ac:dyDescent="0.3">
      <c r="B38" s="358" t="s">
        <v>105</v>
      </c>
      <c r="C38" s="358"/>
      <c r="D38" s="358"/>
      <c r="E38" s="358"/>
    </row>
    <row r="39" spans="1:19" x14ac:dyDescent="0.3">
      <c r="A39" s="15"/>
    </row>
    <row r="40" spans="1:19" x14ac:dyDescent="0.3">
      <c r="A40" s="15"/>
      <c r="C40" s="326" t="s">
        <v>6</v>
      </c>
      <c r="D40" s="326"/>
      <c r="E40" s="326"/>
    </row>
    <row r="41" spans="1:19" x14ac:dyDescent="0.3">
      <c r="B41" s="18"/>
      <c r="C41" s="115" t="s">
        <v>3</v>
      </c>
      <c r="D41" s="115" t="s">
        <v>4</v>
      </c>
      <c r="E41" s="115" t="s">
        <v>5</v>
      </c>
    </row>
    <row r="42" spans="1:19" x14ac:dyDescent="0.3">
      <c r="A42" t="s">
        <v>231</v>
      </c>
      <c r="B42" s="116" t="s">
        <v>0</v>
      </c>
      <c r="C42" s="115">
        <v>80</v>
      </c>
      <c r="D42" s="115">
        <v>100</v>
      </c>
      <c r="E42" s="115">
        <v>50</v>
      </c>
    </row>
    <row r="43" spans="1:19" x14ac:dyDescent="0.3">
      <c r="B43" s="116" t="s">
        <v>1</v>
      </c>
      <c r="C43" s="115">
        <v>40</v>
      </c>
      <c r="D43" s="115">
        <v>60</v>
      </c>
      <c r="E43" s="115">
        <v>60</v>
      </c>
    </row>
    <row r="44" spans="1:19" x14ac:dyDescent="0.3">
      <c r="B44" s="116" t="s">
        <v>157</v>
      </c>
      <c r="C44" s="115">
        <v>20</v>
      </c>
      <c r="D44" s="115">
        <v>40</v>
      </c>
      <c r="E44" s="115">
        <v>80</v>
      </c>
    </row>
    <row r="45" spans="1:19" x14ac:dyDescent="0.3">
      <c r="B45" s="116" t="s">
        <v>2</v>
      </c>
      <c r="C45" s="115">
        <v>2</v>
      </c>
      <c r="D45" s="115">
        <v>4</v>
      </c>
      <c r="E45" s="115">
        <v>4</v>
      </c>
    </row>
    <row r="46" spans="1:19" x14ac:dyDescent="0.3">
      <c r="B46" s="358" t="s">
        <v>106</v>
      </c>
      <c r="C46" s="358"/>
      <c r="D46" s="358"/>
      <c r="E46" s="358"/>
    </row>
    <row r="47" spans="1:19" ht="15" thickBot="1" x14ac:dyDescent="0.35"/>
    <row r="48" spans="1:19" x14ac:dyDescent="0.3">
      <c r="B48" s="348" t="s">
        <v>63</v>
      </c>
      <c r="C48" s="349"/>
      <c r="D48" s="349"/>
      <c r="E48" s="349"/>
      <c r="F48" s="349"/>
      <c r="G48" s="350"/>
      <c r="H48" s="348" t="s">
        <v>64</v>
      </c>
      <c r="I48" s="349"/>
      <c r="J48" s="349"/>
      <c r="K48" s="349"/>
      <c r="L48" s="349"/>
      <c r="M48" s="350"/>
      <c r="N48" s="348" t="s">
        <v>78</v>
      </c>
      <c r="O48" s="349"/>
      <c r="P48" s="349"/>
      <c r="Q48" s="349"/>
      <c r="R48" s="349"/>
      <c r="S48" s="350"/>
    </row>
    <row r="49" spans="1:19" ht="100.8" x14ac:dyDescent="0.3">
      <c r="B49" s="85" t="str">
        <f>Lists_Parameters!$M13</f>
        <v>Defensive Campaign (vs. Peer Competitor)</v>
      </c>
      <c r="C49" s="86" t="str">
        <f>Lists_Parameters!$M14</f>
        <v>Humanitarian Crisis</v>
      </c>
      <c r="D49" s="86" t="str">
        <f>Lists_Parameters!$M15</f>
        <v xml:space="preserve">ISIS 2.0 </v>
      </c>
      <c r="E49" s="86" t="str">
        <f>Lists_Parameters!$M16</f>
        <v>Offensive Campaign (vs. Peer Competitor)</v>
      </c>
      <c r="F49" s="86" t="str">
        <f>Lists_Parameters!$M17</f>
        <v>Rogue State</v>
      </c>
      <c r="G49" s="87" t="str">
        <f>Lists_Parameters!$M18</f>
        <v xml:space="preserve">Steady State </v>
      </c>
      <c r="H49" s="85" t="str">
        <f>Lists_Parameters!$M13</f>
        <v>Defensive Campaign (vs. Peer Competitor)</v>
      </c>
      <c r="I49" s="86" t="str">
        <f>Lists_Parameters!$M14</f>
        <v>Humanitarian Crisis</v>
      </c>
      <c r="J49" s="86" t="str">
        <f>Lists_Parameters!$M15</f>
        <v xml:space="preserve">ISIS 2.0 </v>
      </c>
      <c r="K49" s="86" t="str">
        <f>Lists_Parameters!$M16</f>
        <v>Offensive Campaign (vs. Peer Competitor)</v>
      </c>
      <c r="L49" s="86" t="str">
        <f>Lists_Parameters!$M17</f>
        <v>Rogue State</v>
      </c>
      <c r="M49" s="87" t="str">
        <f>Lists_Parameters!$M18</f>
        <v xml:space="preserve">Steady State </v>
      </c>
      <c r="N49" s="85" t="str">
        <f>Lists_Parameters!$M13</f>
        <v>Defensive Campaign (vs. Peer Competitor)</v>
      </c>
      <c r="O49" s="86" t="str">
        <f>Lists_Parameters!$M14</f>
        <v>Humanitarian Crisis</v>
      </c>
      <c r="P49" s="86" t="str">
        <f>Lists_Parameters!$M15</f>
        <v xml:space="preserve">ISIS 2.0 </v>
      </c>
      <c r="Q49" s="86" t="str">
        <f>Lists_Parameters!$M16</f>
        <v>Offensive Campaign (vs. Peer Competitor)</v>
      </c>
      <c r="R49" s="86" t="str">
        <f>Lists_Parameters!$M17</f>
        <v>Rogue State</v>
      </c>
      <c r="S49" s="87" t="str">
        <f>Lists_Parameters!$M18</f>
        <v xml:space="preserve">Steady State </v>
      </c>
    </row>
    <row r="50" spans="1:19" x14ac:dyDescent="0.3">
      <c r="A50" t="s">
        <v>0</v>
      </c>
      <c r="B50" s="1">
        <f>C3</f>
        <v>120</v>
      </c>
      <c r="C50" s="2">
        <f>C26</f>
        <v>80</v>
      </c>
      <c r="D50" s="2">
        <f>C34</f>
        <v>20</v>
      </c>
      <c r="E50" s="2">
        <f>C10</f>
        <v>20</v>
      </c>
      <c r="F50" s="2">
        <f>C42</f>
        <v>80</v>
      </c>
      <c r="G50" s="4">
        <f>C18</f>
        <v>20</v>
      </c>
      <c r="H50" s="1">
        <f>D3</f>
        <v>150</v>
      </c>
      <c r="I50" s="2">
        <f>D26</f>
        <v>50</v>
      </c>
      <c r="J50" s="2">
        <f>D34</f>
        <v>40</v>
      </c>
      <c r="K50" s="2">
        <f>D10</f>
        <v>50</v>
      </c>
      <c r="L50" s="2">
        <f>D42</f>
        <v>100</v>
      </c>
      <c r="M50" s="4">
        <f>D18</f>
        <v>20</v>
      </c>
      <c r="N50" s="1">
        <f>E3</f>
        <v>200</v>
      </c>
      <c r="O50" s="2">
        <f>E26</f>
        <v>120</v>
      </c>
      <c r="P50" s="2">
        <f>E34</f>
        <v>80</v>
      </c>
      <c r="Q50" s="2">
        <f>E10</f>
        <v>50</v>
      </c>
      <c r="R50" s="2">
        <f>E42</f>
        <v>50</v>
      </c>
      <c r="S50" s="4">
        <f>E18</f>
        <v>20</v>
      </c>
    </row>
    <row r="51" spans="1:19" x14ac:dyDescent="0.3">
      <c r="A51" t="s">
        <v>1</v>
      </c>
      <c r="B51" s="1">
        <f>C4</f>
        <v>20</v>
      </c>
      <c r="C51" s="2">
        <f t="shared" ref="C51:C53" si="1">C27</f>
        <v>20</v>
      </c>
      <c r="D51" s="2">
        <f t="shared" ref="D51:D53" si="2">C35</f>
        <v>80</v>
      </c>
      <c r="E51" s="2">
        <f t="shared" ref="E51:E53" si="3">C11</f>
        <v>120</v>
      </c>
      <c r="F51" s="2">
        <f t="shared" ref="F51:F53" si="4">C43</f>
        <v>40</v>
      </c>
      <c r="G51" s="4">
        <f t="shared" ref="G51:G53" si="5">C19</f>
        <v>20</v>
      </c>
      <c r="H51" s="1">
        <f>D4</f>
        <v>50</v>
      </c>
      <c r="I51" s="2">
        <f t="shared" ref="I51:I53" si="6">D27</f>
        <v>20</v>
      </c>
      <c r="J51" s="2">
        <f t="shared" ref="J51:J53" si="7">D35</f>
        <v>100</v>
      </c>
      <c r="K51" s="2">
        <f t="shared" ref="K51:K53" si="8">D11</f>
        <v>200</v>
      </c>
      <c r="L51" s="2">
        <f t="shared" ref="L51:L53" si="9">D43</f>
        <v>60</v>
      </c>
      <c r="M51" s="4">
        <f t="shared" ref="M51:M53" si="10">D19</f>
        <v>20</v>
      </c>
      <c r="N51" s="1">
        <f>E4</f>
        <v>100</v>
      </c>
      <c r="O51" s="2">
        <f t="shared" ref="O51:O53" si="11">E27</f>
        <v>20</v>
      </c>
      <c r="P51" s="2">
        <f t="shared" ref="P51:P53" si="12">E35</f>
        <v>100</v>
      </c>
      <c r="Q51" s="2">
        <f t="shared" ref="Q51:Q53" si="13">E11</f>
        <v>150</v>
      </c>
      <c r="R51" s="2">
        <f t="shared" ref="R51:R53" si="14">E43</f>
        <v>60</v>
      </c>
      <c r="S51" s="4">
        <f t="shared" ref="S51:S53" si="15">E19</f>
        <v>20</v>
      </c>
    </row>
    <row r="52" spans="1:19" x14ac:dyDescent="0.3">
      <c r="A52" t="s">
        <v>157</v>
      </c>
      <c r="B52" s="1">
        <f>C5</f>
        <v>10</v>
      </c>
      <c r="C52" s="2">
        <f t="shared" si="1"/>
        <v>100</v>
      </c>
      <c r="D52" s="2">
        <f t="shared" si="2"/>
        <v>20</v>
      </c>
      <c r="E52" s="2">
        <f t="shared" si="3"/>
        <v>10</v>
      </c>
      <c r="F52" s="2">
        <f t="shared" si="4"/>
        <v>20</v>
      </c>
      <c r="G52" s="4">
        <f t="shared" si="5"/>
        <v>10</v>
      </c>
      <c r="H52" s="1">
        <f>D5</f>
        <v>20</v>
      </c>
      <c r="I52" s="2">
        <f t="shared" si="6"/>
        <v>50</v>
      </c>
      <c r="J52" s="2">
        <f t="shared" si="7"/>
        <v>50</v>
      </c>
      <c r="K52" s="2">
        <f t="shared" si="8"/>
        <v>50</v>
      </c>
      <c r="L52" s="2">
        <f t="shared" si="9"/>
        <v>40</v>
      </c>
      <c r="M52" s="4">
        <f t="shared" si="10"/>
        <v>10</v>
      </c>
      <c r="N52" s="1">
        <f>E5</f>
        <v>30</v>
      </c>
      <c r="O52" s="2">
        <f t="shared" si="11"/>
        <v>150</v>
      </c>
      <c r="P52" s="2">
        <f t="shared" si="12"/>
        <v>100</v>
      </c>
      <c r="Q52" s="2">
        <f t="shared" si="13"/>
        <v>80</v>
      </c>
      <c r="R52" s="2">
        <f t="shared" si="14"/>
        <v>80</v>
      </c>
      <c r="S52" s="4">
        <f t="shared" si="15"/>
        <v>10</v>
      </c>
    </row>
    <row r="53" spans="1:19" ht="15" thickBot="1" x14ac:dyDescent="0.35">
      <c r="A53" t="s">
        <v>2</v>
      </c>
      <c r="B53" s="5">
        <f>C6</f>
        <v>2</v>
      </c>
      <c r="C53" s="88">
        <f t="shared" si="1"/>
        <v>2</v>
      </c>
      <c r="D53" s="88">
        <f t="shared" si="2"/>
        <v>3</v>
      </c>
      <c r="E53" s="88">
        <f t="shared" si="3"/>
        <v>2</v>
      </c>
      <c r="F53" s="88">
        <f t="shared" si="4"/>
        <v>2</v>
      </c>
      <c r="G53" s="6">
        <f t="shared" si="5"/>
        <v>1</v>
      </c>
      <c r="H53" s="88">
        <f>D6</f>
        <v>3</v>
      </c>
      <c r="I53" s="88">
        <f t="shared" si="6"/>
        <v>3</v>
      </c>
      <c r="J53" s="88">
        <f t="shared" si="7"/>
        <v>4</v>
      </c>
      <c r="K53" s="88">
        <f t="shared" si="8"/>
        <v>3</v>
      </c>
      <c r="L53" s="88">
        <f t="shared" si="9"/>
        <v>4</v>
      </c>
      <c r="M53" s="88">
        <f t="shared" si="10"/>
        <v>2</v>
      </c>
      <c r="N53" s="88">
        <f>E6</f>
        <v>4</v>
      </c>
      <c r="O53" s="88">
        <f t="shared" si="11"/>
        <v>3</v>
      </c>
      <c r="P53" s="88">
        <f t="shared" si="12"/>
        <v>4</v>
      </c>
      <c r="Q53" s="88">
        <f t="shared" si="13"/>
        <v>4</v>
      </c>
      <c r="R53" s="88">
        <f t="shared" si="14"/>
        <v>4</v>
      </c>
      <c r="S53" s="88">
        <f t="shared" si="15"/>
        <v>3</v>
      </c>
    </row>
  </sheetData>
  <mergeCells count="16">
    <mergeCell ref="O2:T2"/>
    <mergeCell ref="C1:E1"/>
    <mergeCell ref="B48:G48"/>
    <mergeCell ref="H48:M48"/>
    <mergeCell ref="N48:S48"/>
    <mergeCell ref="C8:E8"/>
    <mergeCell ref="C16:E16"/>
    <mergeCell ref="C24:E24"/>
    <mergeCell ref="C32:E32"/>
    <mergeCell ref="C40:E40"/>
    <mergeCell ref="B14:E14"/>
    <mergeCell ref="B7:E7"/>
    <mergeCell ref="B22:E22"/>
    <mergeCell ref="B30:E30"/>
    <mergeCell ref="B38:E38"/>
    <mergeCell ref="B46:E46"/>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61"/>
  <sheetViews>
    <sheetView showGridLines="0" topLeftCell="AO30" zoomScale="60" zoomScaleNormal="60" workbookViewId="0">
      <selection activeCell="BJ58" sqref="BJ58"/>
    </sheetView>
  </sheetViews>
  <sheetFormatPr defaultRowHeight="14.4" x14ac:dyDescent="0.3"/>
  <cols>
    <col min="2" max="2" width="9.6640625" bestFit="1" customWidth="1"/>
    <col min="3" max="3" width="27" customWidth="1"/>
    <col min="4" max="5" width="18.6640625" customWidth="1"/>
    <col min="6" max="6" width="13.5546875" customWidth="1"/>
    <col min="7" max="7" width="15.109375" customWidth="1"/>
    <col min="8" max="8" width="19.88671875" customWidth="1"/>
    <col min="12" max="12" width="13" customWidth="1"/>
    <col min="13" max="13" width="12.5546875" bestFit="1" customWidth="1"/>
    <col min="14" max="14" width="15.6640625" bestFit="1" customWidth="1"/>
    <col min="16" max="16" width="10.5546875" bestFit="1" customWidth="1"/>
    <col min="17" max="17" width="13.109375" bestFit="1" customWidth="1"/>
    <col min="21" max="21" width="11.5546875" bestFit="1" customWidth="1"/>
    <col min="26" max="26" width="29" bestFit="1" customWidth="1"/>
    <col min="27" max="27" width="14.109375" bestFit="1" customWidth="1"/>
    <col min="28" max="28" width="17.6640625" bestFit="1" customWidth="1"/>
    <col min="29" max="29" width="26.88671875" bestFit="1" customWidth="1"/>
    <col min="32" max="32" width="15.88671875" bestFit="1" customWidth="1"/>
    <col min="33" max="33" width="9.88671875" bestFit="1" customWidth="1"/>
    <col min="34" max="34" width="10.5546875" bestFit="1" customWidth="1"/>
    <col min="36" max="36" width="17" customWidth="1"/>
    <col min="37" max="37" width="15.5546875" customWidth="1"/>
    <col min="39" max="39" width="17.109375" bestFit="1" customWidth="1"/>
    <col min="40" max="40" width="23.44140625" bestFit="1" customWidth="1"/>
    <col min="41" max="41" width="18.88671875" bestFit="1" customWidth="1"/>
    <col min="43" max="43" width="15.5546875" bestFit="1" customWidth="1"/>
    <col min="44" max="44" width="19" bestFit="1" customWidth="1"/>
    <col min="45" max="48" width="13.6640625" customWidth="1"/>
    <col min="50" max="50" width="11.88671875" bestFit="1" customWidth="1"/>
    <col min="51" max="51" width="16.88671875" bestFit="1" customWidth="1"/>
    <col min="54" max="54" width="11.5546875" bestFit="1" customWidth="1"/>
    <col min="55" max="55" width="20.88671875" bestFit="1" customWidth="1"/>
    <col min="57" max="57" width="13" customWidth="1"/>
    <col min="58" max="58" width="27.5546875" bestFit="1" customWidth="1"/>
    <col min="61" max="61" width="9.88671875" bestFit="1" customWidth="1"/>
    <col min="62" max="63" width="9.109375" bestFit="1" customWidth="1"/>
  </cols>
  <sheetData>
    <row r="1" spans="1:58" ht="15" thickBot="1" x14ac:dyDescent="0.35">
      <c r="A1" s="138" t="s">
        <v>170</v>
      </c>
    </row>
    <row r="2" spans="1:58" ht="18" x14ac:dyDescent="0.35">
      <c r="C2" s="365" t="s">
        <v>132</v>
      </c>
      <c r="D2" s="366"/>
      <c r="E2" s="366"/>
      <c r="F2" s="366"/>
      <c r="G2" s="366"/>
      <c r="H2" s="367"/>
    </row>
    <row r="3" spans="1:58" ht="32.25" customHeight="1" thickBot="1" x14ac:dyDescent="0.35">
      <c r="C3" s="57" t="s">
        <v>133</v>
      </c>
      <c r="D3" s="50" t="s">
        <v>125</v>
      </c>
      <c r="E3" s="50" t="s">
        <v>418</v>
      </c>
      <c r="F3" s="50" t="s">
        <v>0</v>
      </c>
      <c r="G3" s="50" t="s">
        <v>1</v>
      </c>
      <c r="H3" s="52" t="s">
        <v>100</v>
      </c>
    </row>
    <row r="4" spans="1:58" ht="18.600000000000001" thickBot="1" x14ac:dyDescent="0.4">
      <c r="C4" s="53" t="s">
        <v>8</v>
      </c>
      <c r="D4" s="58">
        <v>12</v>
      </c>
      <c r="E4" s="58" t="str">
        <f>Lists_Parameters!R51</f>
        <v>7 (2/3/1/1)</v>
      </c>
      <c r="F4" s="58">
        <v>4</v>
      </c>
      <c r="G4" s="58">
        <v>6</v>
      </c>
      <c r="H4" s="59">
        <v>5</v>
      </c>
      <c r="Z4" s="359" t="s">
        <v>32</v>
      </c>
      <c r="AA4" s="360"/>
      <c r="AB4" s="360"/>
      <c r="AC4" s="361"/>
      <c r="AF4" s="371" t="s">
        <v>135</v>
      </c>
      <c r="AG4" s="372"/>
      <c r="AH4" s="373"/>
      <c r="AJ4" s="359" t="s">
        <v>47</v>
      </c>
      <c r="AK4" s="361"/>
      <c r="AQ4" s="376" t="s">
        <v>70</v>
      </c>
      <c r="AR4" s="377"/>
      <c r="AS4" s="377"/>
      <c r="AT4" s="377"/>
      <c r="AU4" s="377"/>
      <c r="AV4" s="378"/>
      <c r="BB4" s="359" t="s">
        <v>256</v>
      </c>
      <c r="BC4" s="361"/>
      <c r="BE4" s="359" t="s">
        <v>242</v>
      </c>
      <c r="BF4" s="361"/>
    </row>
    <row r="5" spans="1:58" ht="15.75" customHeight="1" x14ac:dyDescent="0.3">
      <c r="C5" s="53" t="s">
        <v>7</v>
      </c>
      <c r="D5" s="58">
        <v>14</v>
      </c>
      <c r="E5" s="58" t="str">
        <f>Lists_Parameters!R52</f>
        <v>10 (3/3/2/2)</v>
      </c>
      <c r="F5" s="58">
        <v>9</v>
      </c>
      <c r="G5" s="58">
        <v>5</v>
      </c>
      <c r="H5" s="59">
        <v>10</v>
      </c>
      <c r="Z5" s="35"/>
      <c r="AA5" s="63" t="s">
        <v>89</v>
      </c>
      <c r="AB5" s="63" t="s">
        <v>126</v>
      </c>
      <c r="AC5" s="64" t="s">
        <v>24</v>
      </c>
      <c r="AF5" s="66" t="s">
        <v>134</v>
      </c>
      <c r="AG5" s="67" t="s">
        <v>29</v>
      </c>
      <c r="AH5" s="68" t="s">
        <v>30</v>
      </c>
      <c r="AJ5" s="75" t="s">
        <v>46</v>
      </c>
      <c r="AK5" s="76" t="s">
        <v>48</v>
      </c>
      <c r="AQ5" s="129"/>
      <c r="AR5" s="131"/>
      <c r="AS5" s="327" t="s">
        <v>232</v>
      </c>
      <c r="AT5" s="327"/>
      <c r="AU5" s="327"/>
      <c r="AV5" s="328"/>
      <c r="BB5" s="201" t="s">
        <v>83</v>
      </c>
      <c r="BC5" s="202" t="s">
        <v>257</v>
      </c>
      <c r="BE5" s="196" t="s">
        <v>46</v>
      </c>
      <c r="BF5" s="197" t="s">
        <v>260</v>
      </c>
    </row>
    <row r="6" spans="1:58" ht="15.6" x14ac:dyDescent="0.3">
      <c r="C6" s="53" t="s">
        <v>9</v>
      </c>
      <c r="D6" s="58">
        <v>13</v>
      </c>
      <c r="E6" s="58" t="str">
        <f>Lists_Parameters!R53</f>
        <v>9 (2/3/2/2)</v>
      </c>
      <c r="F6" s="58">
        <v>7</v>
      </c>
      <c r="G6" s="58">
        <v>5</v>
      </c>
      <c r="H6" s="59">
        <v>6</v>
      </c>
      <c r="Z6" s="36" t="s">
        <v>112</v>
      </c>
      <c r="AA6" s="42">
        <v>4</v>
      </c>
      <c r="AB6" s="42" t="s">
        <v>22</v>
      </c>
      <c r="AC6" s="37">
        <v>6</v>
      </c>
      <c r="AF6" s="69" t="s">
        <v>25</v>
      </c>
      <c r="AG6" s="70">
        <v>0.85</v>
      </c>
      <c r="AH6" s="71">
        <v>1.1499999999999999</v>
      </c>
      <c r="AJ6" s="40">
        <v>2</v>
      </c>
      <c r="AK6" s="37">
        <v>0.5</v>
      </c>
      <c r="AQ6" s="186" t="s">
        <v>224</v>
      </c>
      <c r="AR6" s="205" t="s">
        <v>230</v>
      </c>
      <c r="AS6" s="205" t="s">
        <v>3</v>
      </c>
      <c r="AT6" s="205" t="s">
        <v>4</v>
      </c>
      <c r="AU6" s="205" t="s">
        <v>5</v>
      </c>
      <c r="AV6" s="206" t="s">
        <v>229</v>
      </c>
      <c r="BB6" s="214">
        <v>1</v>
      </c>
      <c r="BC6" s="199">
        <v>3</v>
      </c>
      <c r="BE6" s="198">
        <v>5</v>
      </c>
      <c r="BF6" s="4" t="str">
        <f>'Wargame Calculator'!D24</f>
        <v>Infantry</v>
      </c>
    </row>
    <row r="7" spans="1:58" ht="15.6" x14ac:dyDescent="0.3">
      <c r="C7" s="53" t="s">
        <v>10</v>
      </c>
      <c r="D7" s="58">
        <v>15</v>
      </c>
      <c r="E7" s="58" t="str">
        <f>Lists_Parameters!R54</f>
        <v>11 (3/2/3/3)</v>
      </c>
      <c r="F7" s="58">
        <v>6</v>
      </c>
      <c r="G7" s="58">
        <v>4</v>
      </c>
      <c r="H7" s="59">
        <v>8</v>
      </c>
      <c r="Z7" s="36" t="s">
        <v>113</v>
      </c>
      <c r="AA7" s="42">
        <v>3</v>
      </c>
      <c r="AB7" s="42" t="s">
        <v>23</v>
      </c>
      <c r="AC7" s="37">
        <v>8</v>
      </c>
      <c r="AF7" s="69" t="s">
        <v>26</v>
      </c>
      <c r="AG7" s="70">
        <v>0.75</v>
      </c>
      <c r="AH7" s="71">
        <v>1.25</v>
      </c>
      <c r="AJ7" s="40">
        <v>3</v>
      </c>
      <c r="AK7" s="37">
        <v>0.55000000000000004</v>
      </c>
      <c r="AQ7" s="218" t="s">
        <v>225</v>
      </c>
      <c r="AR7" s="216">
        <v>5</v>
      </c>
      <c r="AS7" s="216" t="s">
        <v>40</v>
      </c>
      <c r="AT7" s="216" t="s">
        <v>39</v>
      </c>
      <c r="AU7" s="216" t="s">
        <v>38</v>
      </c>
      <c r="AV7" s="217" t="s">
        <v>37</v>
      </c>
      <c r="BB7" s="214" t="s">
        <v>258</v>
      </c>
      <c r="BC7" s="199">
        <v>2</v>
      </c>
      <c r="BE7" s="198" t="s">
        <v>263</v>
      </c>
      <c r="BF7" s="4" t="str">
        <f>'Wargame Calculator'!D25</f>
        <v>Armor</v>
      </c>
    </row>
    <row r="8" spans="1:58" ht="16.2" thickBot="1" x14ac:dyDescent="0.35">
      <c r="C8" s="53" t="s">
        <v>13</v>
      </c>
      <c r="D8" s="58">
        <v>10</v>
      </c>
      <c r="E8" s="58" t="str">
        <f>Lists_Parameters!R55</f>
        <v>7 (1/2/2/2)</v>
      </c>
      <c r="F8" s="58">
        <v>5</v>
      </c>
      <c r="G8" s="58">
        <v>2</v>
      </c>
      <c r="H8" s="59">
        <v>5</v>
      </c>
      <c r="Z8" s="65" t="s">
        <v>114</v>
      </c>
      <c r="AA8" s="48">
        <v>2</v>
      </c>
      <c r="AB8" s="48" t="s">
        <v>111</v>
      </c>
      <c r="AC8" s="47">
        <v>10</v>
      </c>
      <c r="AF8" s="72" t="s">
        <v>27</v>
      </c>
      <c r="AG8" s="73">
        <v>0.66</v>
      </c>
      <c r="AH8" s="74">
        <v>1.33</v>
      </c>
      <c r="AJ8" s="40">
        <v>4</v>
      </c>
      <c r="AK8" s="37">
        <v>0.6</v>
      </c>
      <c r="AQ8" s="219" t="s">
        <v>226</v>
      </c>
      <c r="AR8" s="216">
        <v>4</v>
      </c>
      <c r="AS8" s="216" t="s">
        <v>42</v>
      </c>
      <c r="AT8" s="216" t="s">
        <v>41</v>
      </c>
      <c r="AU8" s="216" t="s">
        <v>39</v>
      </c>
      <c r="AV8" s="217" t="s">
        <v>38</v>
      </c>
      <c r="BB8" s="214" t="s">
        <v>259</v>
      </c>
      <c r="BC8" s="199">
        <v>1</v>
      </c>
      <c r="BE8" s="198" t="s">
        <v>261</v>
      </c>
      <c r="BF8" s="4" t="str">
        <f>'Wargame Calculator'!D26</f>
        <v>Stryker</v>
      </c>
    </row>
    <row r="9" spans="1:58" ht="16.2" thickBot="1" x14ac:dyDescent="0.35">
      <c r="C9" s="53" t="s">
        <v>12</v>
      </c>
      <c r="D9" s="58">
        <v>20</v>
      </c>
      <c r="E9" s="58" t="str">
        <f>Lists_Parameters!R56</f>
        <v>6 (1/1/2/2)</v>
      </c>
      <c r="F9" s="58">
        <v>10</v>
      </c>
      <c r="G9" s="58">
        <v>3</v>
      </c>
      <c r="H9" s="59">
        <v>3</v>
      </c>
      <c r="AJ9" s="40">
        <v>5</v>
      </c>
      <c r="AK9" s="37">
        <v>0.65</v>
      </c>
      <c r="AQ9" s="219" t="s">
        <v>227</v>
      </c>
      <c r="AR9" s="216">
        <v>3</v>
      </c>
      <c r="AS9" s="216" t="s">
        <v>43</v>
      </c>
      <c r="AT9" s="216" t="s">
        <v>42</v>
      </c>
      <c r="AU9" s="216" t="s">
        <v>40</v>
      </c>
      <c r="AV9" s="217" t="s">
        <v>39</v>
      </c>
      <c r="BB9" s="215">
        <v>6</v>
      </c>
      <c r="BC9" s="134">
        <v>0</v>
      </c>
      <c r="BE9" s="198">
        <v>7</v>
      </c>
      <c r="BF9" s="4" t="str">
        <f>'Wargame Calculator'!D27</f>
        <v>Aviation</v>
      </c>
    </row>
    <row r="10" spans="1:58" ht="16.2" thickBot="1" x14ac:dyDescent="0.35">
      <c r="C10" s="53" t="s">
        <v>11</v>
      </c>
      <c r="D10" s="58">
        <v>9</v>
      </c>
      <c r="E10" s="58" t="str">
        <f>Lists_Parameters!R57</f>
        <v>8 (2/1/2/3)</v>
      </c>
      <c r="F10" s="58">
        <v>1</v>
      </c>
      <c r="G10" s="58">
        <v>8</v>
      </c>
      <c r="H10" s="59">
        <v>4</v>
      </c>
      <c r="AJ10" s="40">
        <v>6</v>
      </c>
      <c r="AK10" s="37">
        <v>0.7</v>
      </c>
      <c r="AQ10" s="220" t="s">
        <v>228</v>
      </c>
      <c r="AR10" s="221">
        <v>2</v>
      </c>
      <c r="AS10" s="221" t="s">
        <v>44</v>
      </c>
      <c r="AT10" s="221" t="s">
        <v>43</v>
      </c>
      <c r="AU10" s="221" t="s">
        <v>41</v>
      </c>
      <c r="AV10" s="222" t="s">
        <v>40</v>
      </c>
      <c r="BB10" s="213"/>
      <c r="BE10" s="198">
        <v>9</v>
      </c>
      <c r="BF10" s="4" t="str">
        <f>'Wargame Calculator'!D28</f>
        <v>Artillery</v>
      </c>
    </row>
    <row r="11" spans="1:58" ht="16.2" thickBot="1" x14ac:dyDescent="0.35">
      <c r="C11" s="54" t="s">
        <v>54</v>
      </c>
      <c r="D11" s="60">
        <v>8</v>
      </c>
      <c r="E11" s="60" t="str">
        <f>Lists_Parameters!R58</f>
        <v>5 (1/1/1/2)</v>
      </c>
      <c r="F11" s="61"/>
      <c r="G11" s="61"/>
      <c r="H11" s="62"/>
      <c r="AJ11" s="40">
        <v>7</v>
      </c>
      <c r="AK11" s="37">
        <v>0.75</v>
      </c>
      <c r="BB11" s="213"/>
      <c r="BE11" s="198">
        <v>8</v>
      </c>
      <c r="BF11" s="4" t="str">
        <f>'Wargame Calculator'!D29</f>
        <v>Special Operations</v>
      </c>
    </row>
    <row r="12" spans="1:58" ht="16.2" thickBot="1" x14ac:dyDescent="0.35">
      <c r="C12" s="55"/>
      <c r="D12" s="56"/>
      <c r="E12" s="56"/>
      <c r="AJ12" s="40">
        <v>8</v>
      </c>
      <c r="AK12" s="37">
        <v>0.8</v>
      </c>
      <c r="BB12" s="213"/>
      <c r="BE12" s="198" t="s">
        <v>262</v>
      </c>
      <c r="BF12" s="4" t="str">
        <f>'Wargame Calculator'!D30</f>
        <v>Air Defense</v>
      </c>
    </row>
    <row r="13" spans="1:58" ht="18.600000000000001" thickBot="1" x14ac:dyDescent="0.4">
      <c r="P13" s="359" t="s">
        <v>127</v>
      </c>
      <c r="Q13" s="360"/>
      <c r="R13" s="360"/>
      <c r="S13" s="360"/>
      <c r="T13" s="360"/>
      <c r="U13" s="360"/>
      <c r="V13" s="360"/>
      <c r="W13" s="360"/>
      <c r="X13" s="361"/>
      <c r="AJ13" s="40">
        <v>9</v>
      </c>
      <c r="AK13" s="37">
        <v>0.85</v>
      </c>
      <c r="BE13" s="132">
        <v>12</v>
      </c>
      <c r="BF13" s="6" t="str">
        <f>'Wargame Calculator'!D31</f>
        <v>Enablers</v>
      </c>
    </row>
    <row r="14" spans="1:58" ht="15.6" x14ac:dyDescent="0.3">
      <c r="C14" s="56"/>
      <c r="D14" s="56"/>
      <c r="E14" s="77"/>
      <c r="F14" s="56"/>
      <c r="G14" s="77"/>
      <c r="H14" s="77"/>
      <c r="P14" s="374" t="s">
        <v>128</v>
      </c>
      <c r="Q14" s="375"/>
      <c r="R14" s="368" t="s">
        <v>21</v>
      </c>
      <c r="S14" s="369"/>
      <c r="T14" s="370"/>
      <c r="U14" s="368" t="s">
        <v>131</v>
      </c>
      <c r="V14" s="369"/>
      <c r="W14" s="369"/>
      <c r="X14" s="370"/>
      <c r="AJ14" s="40">
        <v>10</v>
      </c>
      <c r="AK14" s="37">
        <v>0.9</v>
      </c>
    </row>
    <row r="15" spans="1:58" ht="15.6" x14ac:dyDescent="0.3">
      <c r="C15" s="56"/>
      <c r="D15" s="56"/>
      <c r="E15" s="77"/>
      <c r="F15" s="56"/>
      <c r="G15" s="77"/>
      <c r="H15" s="77"/>
      <c r="P15" s="126" t="s">
        <v>20</v>
      </c>
      <c r="Q15" s="41" t="s">
        <v>126</v>
      </c>
      <c r="R15" s="38" t="s">
        <v>129</v>
      </c>
      <c r="S15" s="39" t="s">
        <v>130</v>
      </c>
      <c r="T15" s="39" t="s">
        <v>138</v>
      </c>
      <c r="U15" s="38" t="s">
        <v>19</v>
      </c>
      <c r="V15" s="39" t="s">
        <v>129</v>
      </c>
      <c r="W15" s="39" t="s">
        <v>130</v>
      </c>
      <c r="X15" s="41" t="s">
        <v>138</v>
      </c>
      <c r="AJ15" s="40">
        <v>11</v>
      </c>
      <c r="AK15" s="37">
        <v>0.95</v>
      </c>
    </row>
    <row r="16" spans="1:58" ht="16.2" thickBot="1" x14ac:dyDescent="0.35">
      <c r="C16" s="56"/>
      <c r="D16" s="56"/>
      <c r="E16" s="56"/>
      <c r="F16" s="56"/>
      <c r="G16" s="77"/>
      <c r="H16" s="77"/>
      <c r="P16" s="40">
        <v>5</v>
      </c>
      <c r="Q16" s="37" t="s">
        <v>18</v>
      </c>
      <c r="R16" s="40">
        <f>ROUNDUP(R19*0.2,0)</f>
        <v>20</v>
      </c>
      <c r="S16" s="42">
        <f t="shared" ref="S16:T16" si="0">ROUNDUP(S19*0.2,0)</f>
        <v>30</v>
      </c>
      <c r="T16" s="37">
        <f t="shared" si="0"/>
        <v>40</v>
      </c>
      <c r="U16" s="38">
        <v>1</v>
      </c>
      <c r="V16" s="42">
        <f>R16</f>
        <v>20</v>
      </c>
      <c r="W16" s="42">
        <f t="shared" ref="W16:X16" si="1">S16</f>
        <v>30</v>
      </c>
      <c r="X16" s="37">
        <f t="shared" si="1"/>
        <v>40</v>
      </c>
      <c r="AJ16" s="46">
        <v>12</v>
      </c>
      <c r="AK16" s="47">
        <v>1</v>
      </c>
    </row>
    <row r="17" spans="3:41" ht="15.6" x14ac:dyDescent="0.3">
      <c r="C17" s="56"/>
      <c r="D17" s="56"/>
      <c r="E17" s="56"/>
      <c r="F17" s="56"/>
      <c r="G17" s="77"/>
      <c r="H17" s="77"/>
      <c r="P17" s="40">
        <v>4</v>
      </c>
      <c r="Q17" s="37" t="s">
        <v>14</v>
      </c>
      <c r="R17" s="40">
        <f>ROUNDUP(R19*0.5,0)</f>
        <v>50</v>
      </c>
      <c r="S17" s="42">
        <f t="shared" ref="S17:T17" si="2">ROUNDUP(S19*0.5,0)</f>
        <v>75</v>
      </c>
      <c r="T17" s="37">
        <f t="shared" si="2"/>
        <v>100</v>
      </c>
      <c r="U17" s="38">
        <v>2</v>
      </c>
      <c r="V17" s="42">
        <f t="shared" ref="V17:V20" si="3">R17</f>
        <v>50</v>
      </c>
      <c r="W17" s="42">
        <f t="shared" ref="W17:W20" si="4">S17</f>
        <v>75</v>
      </c>
      <c r="X17" s="37">
        <f t="shared" ref="X17:X20" si="5">T17</f>
        <v>100</v>
      </c>
    </row>
    <row r="18" spans="3:41" ht="15.6" x14ac:dyDescent="0.3">
      <c r="C18" s="56"/>
      <c r="D18" s="56"/>
      <c r="E18" s="56"/>
      <c r="F18" s="77"/>
      <c r="G18" s="77"/>
      <c r="H18" s="77"/>
      <c r="P18" s="40">
        <v>3</v>
      </c>
      <c r="Q18" s="37" t="s">
        <v>15</v>
      </c>
      <c r="R18" s="40">
        <f>ROUNDUP(R19*0.8,0)</f>
        <v>80</v>
      </c>
      <c r="S18" s="42">
        <f t="shared" ref="S18:T18" si="6">ROUNDUP(S19*0.8,0)</f>
        <v>120</v>
      </c>
      <c r="T18" s="37">
        <f t="shared" si="6"/>
        <v>160</v>
      </c>
      <c r="U18" s="38">
        <v>3</v>
      </c>
      <c r="V18" s="42">
        <f t="shared" si="3"/>
        <v>80</v>
      </c>
      <c r="W18" s="42">
        <f t="shared" si="4"/>
        <v>120</v>
      </c>
      <c r="X18" s="37">
        <f t="shared" si="5"/>
        <v>160</v>
      </c>
    </row>
    <row r="19" spans="3:41" ht="15.6" x14ac:dyDescent="0.3">
      <c r="C19" s="56"/>
      <c r="D19" s="56"/>
      <c r="E19" s="56"/>
      <c r="F19" s="77"/>
      <c r="G19" s="77"/>
      <c r="H19" s="77"/>
      <c r="P19" s="40">
        <v>2</v>
      </c>
      <c r="Q19" s="37" t="s">
        <v>16</v>
      </c>
      <c r="R19" s="43">
        <v>100</v>
      </c>
      <c r="S19" s="44">
        <v>150</v>
      </c>
      <c r="T19" s="45">
        <v>200</v>
      </c>
      <c r="U19" s="38">
        <v>4</v>
      </c>
      <c r="V19" s="42">
        <f t="shared" si="3"/>
        <v>100</v>
      </c>
      <c r="W19" s="42">
        <f t="shared" si="4"/>
        <v>150</v>
      </c>
      <c r="X19" s="37">
        <f t="shared" si="5"/>
        <v>200</v>
      </c>
    </row>
    <row r="20" spans="3:41" ht="16.2" thickBot="1" x14ac:dyDescent="0.35">
      <c r="C20" s="56"/>
      <c r="D20" s="56"/>
      <c r="E20" s="56"/>
      <c r="F20" s="77"/>
      <c r="G20" s="77"/>
      <c r="H20" s="77"/>
      <c r="P20" s="46">
        <v>1</v>
      </c>
      <c r="Q20" s="47" t="s">
        <v>17</v>
      </c>
      <c r="R20" s="46">
        <f>ROUNDUP(R19*1.5,0)</f>
        <v>150</v>
      </c>
      <c r="S20" s="48">
        <f t="shared" ref="S20:T20" si="7">ROUNDUP(S19*1.5,0)</f>
        <v>225</v>
      </c>
      <c r="T20" s="47">
        <f t="shared" si="7"/>
        <v>300</v>
      </c>
      <c r="U20" s="49">
        <v>5</v>
      </c>
      <c r="V20" s="48">
        <f t="shared" si="3"/>
        <v>150</v>
      </c>
      <c r="W20" s="48">
        <f t="shared" si="4"/>
        <v>225</v>
      </c>
      <c r="X20" s="47">
        <f t="shared" si="5"/>
        <v>300</v>
      </c>
    </row>
    <row r="21" spans="3:41" ht="15.6" x14ac:dyDescent="0.3">
      <c r="C21" s="56"/>
      <c r="D21" s="56"/>
      <c r="E21" s="56"/>
      <c r="F21" s="77"/>
      <c r="G21" s="77"/>
      <c r="H21" s="77"/>
    </row>
    <row r="22" spans="3:41" ht="15.6" x14ac:dyDescent="0.3">
      <c r="C22" s="56"/>
      <c r="D22" s="56"/>
      <c r="E22" s="56"/>
      <c r="F22" s="77"/>
      <c r="G22" s="77"/>
      <c r="H22" s="77"/>
    </row>
    <row r="23" spans="3:41" ht="16.2" thickBot="1" x14ac:dyDescent="0.35">
      <c r="C23" s="56"/>
      <c r="D23" s="56"/>
      <c r="E23" s="56"/>
      <c r="F23" s="77"/>
      <c r="G23" s="77"/>
      <c r="H23" s="77"/>
    </row>
    <row r="24" spans="3:41" ht="18.600000000000001" thickBot="1" x14ac:dyDescent="0.4">
      <c r="C24" s="56"/>
      <c r="D24" s="56"/>
      <c r="E24" s="56"/>
      <c r="F24" s="77"/>
      <c r="G24" s="77"/>
      <c r="H24" s="77"/>
      <c r="AM24" s="359" t="s">
        <v>110</v>
      </c>
      <c r="AN24" s="360"/>
      <c r="AO24" s="361"/>
    </row>
    <row r="25" spans="3:41" ht="15.6" x14ac:dyDescent="0.3">
      <c r="C25" s="56"/>
      <c r="D25" s="56"/>
      <c r="E25" s="56"/>
      <c r="F25" s="77"/>
      <c r="G25" s="77"/>
      <c r="H25" s="77"/>
      <c r="AM25" s="362" t="s">
        <v>194</v>
      </c>
      <c r="AN25" s="363"/>
      <c r="AO25" s="364"/>
    </row>
    <row r="26" spans="3:41" ht="15.6" x14ac:dyDescent="0.3">
      <c r="C26" s="56"/>
      <c r="D26" s="56"/>
      <c r="E26" s="56"/>
      <c r="F26" s="77"/>
      <c r="G26" s="77"/>
      <c r="H26" s="77"/>
      <c r="AM26" s="38" t="s">
        <v>137</v>
      </c>
      <c r="AN26" s="39" t="s">
        <v>136</v>
      </c>
      <c r="AO26" s="143" t="s">
        <v>193</v>
      </c>
    </row>
    <row r="27" spans="3:41" ht="15.6" x14ac:dyDescent="0.3">
      <c r="C27" s="56"/>
      <c r="D27" s="56"/>
      <c r="E27" s="56"/>
      <c r="F27" s="77"/>
      <c r="G27" s="77"/>
      <c r="H27" s="77"/>
      <c r="AM27" s="40" t="s">
        <v>35</v>
      </c>
      <c r="AN27" s="42" t="s">
        <v>36</v>
      </c>
      <c r="AO27" s="139">
        <v>0.03</v>
      </c>
    </row>
    <row r="28" spans="3:41" ht="15.6" x14ac:dyDescent="0.3">
      <c r="C28" s="56"/>
      <c r="D28" s="56"/>
      <c r="E28" s="56"/>
      <c r="F28" s="77"/>
      <c r="G28" s="77"/>
      <c r="H28" s="77"/>
      <c r="AM28" s="40">
        <v>0.92</v>
      </c>
      <c r="AN28" s="42" t="s">
        <v>37</v>
      </c>
      <c r="AO28" s="139">
        <f>1-AM28</f>
        <v>7.999999999999996E-2</v>
      </c>
    </row>
    <row r="29" spans="3:41" ht="15.6" x14ac:dyDescent="0.3">
      <c r="C29" s="56"/>
      <c r="D29" s="56"/>
      <c r="E29" s="56"/>
      <c r="F29" s="77"/>
      <c r="G29" s="77"/>
      <c r="H29" s="77"/>
      <c r="AM29" s="40">
        <v>0.83</v>
      </c>
      <c r="AN29" s="42" t="s">
        <v>38</v>
      </c>
      <c r="AO29" s="139">
        <f t="shared" ref="AO29:AO35" si="8">1-AM29</f>
        <v>0.17000000000000004</v>
      </c>
    </row>
    <row r="30" spans="3:41" ht="15.6" x14ac:dyDescent="0.3">
      <c r="C30" s="56"/>
      <c r="D30" s="56"/>
      <c r="E30" s="56"/>
      <c r="F30" s="77"/>
      <c r="G30" s="77"/>
      <c r="H30" s="77"/>
      <c r="AM30" s="40">
        <v>0.72</v>
      </c>
      <c r="AN30" s="42" t="s">
        <v>39</v>
      </c>
      <c r="AO30" s="139">
        <f t="shared" si="8"/>
        <v>0.28000000000000003</v>
      </c>
    </row>
    <row r="31" spans="3:41" ht="15.6" x14ac:dyDescent="0.3">
      <c r="AM31" s="40">
        <v>0.57999999999999996</v>
      </c>
      <c r="AN31" s="42" t="s">
        <v>40</v>
      </c>
      <c r="AO31" s="139">
        <f t="shared" si="8"/>
        <v>0.42000000000000004</v>
      </c>
    </row>
    <row r="32" spans="3:41" ht="15.6" x14ac:dyDescent="0.3">
      <c r="AM32" s="40">
        <v>0.42</v>
      </c>
      <c r="AN32" s="42" t="s">
        <v>41</v>
      </c>
      <c r="AO32" s="139">
        <f t="shared" si="8"/>
        <v>0.58000000000000007</v>
      </c>
    </row>
    <row r="33" spans="39:51" ht="15.6" x14ac:dyDescent="0.3">
      <c r="AM33" s="40">
        <v>0.28000000000000003</v>
      </c>
      <c r="AN33" s="42" t="s">
        <v>42</v>
      </c>
      <c r="AO33" s="139">
        <f t="shared" si="8"/>
        <v>0.72</v>
      </c>
    </row>
    <row r="34" spans="39:51" ht="15.6" x14ac:dyDescent="0.3">
      <c r="AM34" s="40">
        <v>0.17</v>
      </c>
      <c r="AN34" s="42" t="s">
        <v>43</v>
      </c>
      <c r="AO34" s="139">
        <f t="shared" si="8"/>
        <v>0.83</v>
      </c>
    </row>
    <row r="35" spans="39:51" ht="15.6" x14ac:dyDescent="0.3">
      <c r="AM35" s="40">
        <v>0.08</v>
      </c>
      <c r="AN35" s="42" t="s">
        <v>44</v>
      </c>
      <c r="AO35" s="139">
        <f t="shared" si="8"/>
        <v>0.92</v>
      </c>
    </row>
    <row r="36" spans="39:51" ht="16.2" thickBot="1" x14ac:dyDescent="0.35">
      <c r="AM36" s="46" t="s">
        <v>34</v>
      </c>
      <c r="AN36" s="48">
        <v>12</v>
      </c>
      <c r="AO36" s="134">
        <v>0.97</v>
      </c>
    </row>
    <row r="37" spans="39:51" x14ac:dyDescent="0.3">
      <c r="AM37" s="138" t="s">
        <v>171</v>
      </c>
    </row>
    <row r="38" spans="39:51" ht="15" thickBot="1" x14ac:dyDescent="0.35"/>
    <row r="39" spans="39:51" ht="36" customHeight="1" thickBot="1" x14ac:dyDescent="0.4">
      <c r="AX39" s="379" t="s">
        <v>235</v>
      </c>
      <c r="AY39" s="380"/>
    </row>
    <row r="40" spans="39:51" ht="15.6" x14ac:dyDescent="0.3">
      <c r="AX40" s="200" t="s">
        <v>234</v>
      </c>
      <c r="AY40" s="64" t="s">
        <v>233</v>
      </c>
    </row>
    <row r="41" spans="39:51" x14ac:dyDescent="0.3">
      <c r="AX41" s="198">
        <v>1</v>
      </c>
      <c r="AY41" s="199">
        <v>20</v>
      </c>
    </row>
    <row r="42" spans="39:51" x14ac:dyDescent="0.3">
      <c r="AX42" s="198">
        <v>2</v>
      </c>
      <c r="AY42" s="199">
        <v>30</v>
      </c>
    </row>
    <row r="43" spans="39:51" x14ac:dyDescent="0.3">
      <c r="AX43" s="198">
        <v>3</v>
      </c>
      <c r="AY43" s="199">
        <v>40</v>
      </c>
    </row>
    <row r="44" spans="39:51" x14ac:dyDescent="0.3">
      <c r="AX44" s="198">
        <v>4</v>
      </c>
      <c r="AY44" s="199">
        <v>50</v>
      </c>
    </row>
    <row r="45" spans="39:51" x14ac:dyDescent="0.3">
      <c r="AX45" s="198">
        <v>5</v>
      </c>
      <c r="AY45" s="199">
        <v>60</v>
      </c>
    </row>
    <row r="46" spans="39:51" x14ac:dyDescent="0.3">
      <c r="AX46" s="198">
        <v>6</v>
      </c>
      <c r="AY46" s="199">
        <v>70</v>
      </c>
    </row>
    <row r="47" spans="39:51" x14ac:dyDescent="0.3">
      <c r="AX47" s="198">
        <v>7</v>
      </c>
      <c r="AY47" s="199">
        <v>80</v>
      </c>
    </row>
    <row r="48" spans="39:51" x14ac:dyDescent="0.3">
      <c r="AX48" s="198">
        <v>8</v>
      </c>
      <c r="AY48" s="199">
        <v>90</v>
      </c>
    </row>
    <row r="49" spans="50:62" ht="15" thickBot="1" x14ac:dyDescent="0.35">
      <c r="AX49" s="132">
        <v>9</v>
      </c>
      <c r="AY49" s="134">
        <v>100</v>
      </c>
    </row>
    <row r="50" spans="50:62" ht="15" thickBot="1" x14ac:dyDescent="0.35">
      <c r="BH50" s="344" t="s">
        <v>274</v>
      </c>
      <c r="BI50" s="345"/>
      <c r="BJ50" s="346"/>
    </row>
    <row r="51" spans="50:62" ht="28.8" x14ac:dyDescent="0.3">
      <c r="BH51" s="286" t="s">
        <v>483</v>
      </c>
      <c r="BI51" s="287" t="s">
        <v>484</v>
      </c>
      <c r="BJ51" s="288" t="s">
        <v>482</v>
      </c>
    </row>
    <row r="52" spans="50:62" x14ac:dyDescent="0.3">
      <c r="BH52" s="212">
        <f>Lists_Parameters!Q61</f>
        <v>1</v>
      </c>
      <c r="BI52" s="211">
        <f>Lists_Parameters!R61</f>
        <v>1</v>
      </c>
      <c r="BJ52" s="282">
        <f>Lists_Parameters!S61</f>
        <v>3</v>
      </c>
    </row>
    <row r="53" spans="50:62" x14ac:dyDescent="0.3">
      <c r="BH53" s="212">
        <f>Lists_Parameters!Q62</f>
        <v>2</v>
      </c>
      <c r="BI53" s="211">
        <f>Lists_Parameters!R62</f>
        <v>2</v>
      </c>
      <c r="BJ53" s="282">
        <f>Lists_Parameters!S62</f>
        <v>6</v>
      </c>
    </row>
    <row r="54" spans="50:62" x14ac:dyDescent="0.3">
      <c r="BH54" s="212">
        <f>Lists_Parameters!Q63</f>
        <v>3</v>
      </c>
      <c r="BI54" s="211">
        <f>Lists_Parameters!R63</f>
        <v>3</v>
      </c>
      <c r="BJ54" s="282">
        <f>Lists_Parameters!S63</f>
        <v>9</v>
      </c>
    </row>
    <row r="55" spans="50:62" x14ac:dyDescent="0.3">
      <c r="BH55" s="212">
        <f>Lists_Parameters!Q64</f>
        <v>4</v>
      </c>
      <c r="BI55" s="211">
        <f>Lists_Parameters!R64</f>
        <v>4</v>
      </c>
      <c r="BJ55" s="282">
        <f>Lists_Parameters!S64</f>
        <v>12</v>
      </c>
    </row>
    <row r="56" spans="50:62" x14ac:dyDescent="0.3">
      <c r="BH56" s="212">
        <f>Lists_Parameters!Q65</f>
        <v>5</v>
      </c>
      <c r="BI56" s="211">
        <f>Lists_Parameters!R65</f>
        <v>5</v>
      </c>
      <c r="BJ56" s="282">
        <f>Lists_Parameters!S65</f>
        <v>15</v>
      </c>
    </row>
    <row r="57" spans="50:62" x14ac:dyDescent="0.3">
      <c r="BH57" s="212">
        <f>Lists_Parameters!Q66</f>
        <v>6</v>
      </c>
      <c r="BI57" s="211">
        <f>Lists_Parameters!R66</f>
        <v>6</v>
      </c>
      <c r="BJ57" s="282">
        <f>Lists_Parameters!S66</f>
        <v>18</v>
      </c>
    </row>
    <row r="58" spans="50:62" x14ac:dyDescent="0.3">
      <c r="BH58" s="212">
        <f>Lists_Parameters!Q67</f>
        <v>7</v>
      </c>
      <c r="BI58" s="211">
        <f>Lists_Parameters!R67</f>
        <v>7</v>
      </c>
      <c r="BJ58" s="282">
        <f>Lists_Parameters!S67</f>
        <v>21</v>
      </c>
    </row>
    <row r="59" spans="50:62" x14ac:dyDescent="0.3">
      <c r="BH59" s="212">
        <f>Lists_Parameters!Q68</f>
        <v>8</v>
      </c>
      <c r="BI59" s="211">
        <f>Lists_Parameters!R68</f>
        <v>8</v>
      </c>
      <c r="BJ59" s="282">
        <f>Lists_Parameters!S68</f>
        <v>24</v>
      </c>
    </row>
    <row r="60" spans="50:62" x14ac:dyDescent="0.3">
      <c r="BH60" s="212">
        <f>Lists_Parameters!Q69</f>
        <v>9</v>
      </c>
      <c r="BI60" s="211">
        <f>Lists_Parameters!R69</f>
        <v>9</v>
      </c>
      <c r="BJ60" s="282">
        <f>Lists_Parameters!S69</f>
        <v>27</v>
      </c>
    </row>
    <row r="61" spans="50:62" ht="15" thickBot="1" x14ac:dyDescent="0.35">
      <c r="BH61" s="283">
        <f>Lists_Parameters!Q70</f>
        <v>10</v>
      </c>
      <c r="BI61" s="284">
        <f>Lists_Parameters!R70</f>
        <v>10</v>
      </c>
      <c r="BJ61" s="285">
        <f>Lists_Parameters!S70</f>
        <v>30</v>
      </c>
    </row>
  </sheetData>
  <mergeCells count="16">
    <mergeCell ref="BH50:BJ50"/>
    <mergeCell ref="AM24:AO24"/>
    <mergeCell ref="AM25:AO25"/>
    <mergeCell ref="C2:H2"/>
    <mergeCell ref="R14:T14"/>
    <mergeCell ref="P13:X13"/>
    <mergeCell ref="AJ4:AK4"/>
    <mergeCell ref="Z4:AC4"/>
    <mergeCell ref="AF4:AH4"/>
    <mergeCell ref="P14:Q14"/>
    <mergeCell ref="U14:X14"/>
    <mergeCell ref="BB4:BC4"/>
    <mergeCell ref="BE4:BF4"/>
    <mergeCell ref="AQ4:AV4"/>
    <mergeCell ref="AS5:AV5"/>
    <mergeCell ref="AX39:AY39"/>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sheetPr>
  <dimension ref="A1:R70"/>
  <sheetViews>
    <sheetView zoomScale="70" zoomScaleNormal="70" workbookViewId="0">
      <pane xSplit="2" ySplit="1" topLeftCell="C2" activePane="bottomRight" state="frozen"/>
      <selection pane="topRight" activeCell="C1" sqref="C1"/>
      <selection pane="bottomLeft" activeCell="A2" sqref="A2"/>
      <selection pane="bottomRight" activeCell="F2" sqref="F2:F6"/>
    </sheetView>
  </sheetViews>
  <sheetFormatPr defaultRowHeight="14.4" x14ac:dyDescent="0.3"/>
  <cols>
    <col min="1" max="1" width="51.44140625" bestFit="1" customWidth="1"/>
    <col min="2" max="2" width="19.5546875" bestFit="1" customWidth="1"/>
    <col min="3" max="3" width="19.5546875" customWidth="1"/>
    <col min="4" max="4" width="32.5546875" bestFit="1" customWidth="1"/>
    <col min="5" max="5" width="44" customWidth="1"/>
    <col min="6" max="6" width="20.33203125" bestFit="1" customWidth="1"/>
    <col min="7" max="7" width="22.44140625" bestFit="1" customWidth="1"/>
    <col min="8" max="8" width="24.88671875" bestFit="1" customWidth="1"/>
    <col min="9" max="9" width="19.33203125" bestFit="1" customWidth="1"/>
    <col min="10" max="10" width="26.33203125" bestFit="1" customWidth="1"/>
    <col min="11" max="11" width="28.33203125" bestFit="1" customWidth="1"/>
    <col min="12" max="12" width="30.6640625" bestFit="1" customWidth="1"/>
    <col min="13" max="13" width="25.33203125" bestFit="1" customWidth="1"/>
    <col min="14" max="14" width="26.6640625" style="250" bestFit="1" customWidth="1"/>
    <col min="15" max="15" width="25.44140625" bestFit="1" customWidth="1"/>
    <col min="16" max="16" width="25.6640625" style="269" bestFit="1" customWidth="1"/>
    <col min="17" max="17" width="24.44140625" style="263" customWidth="1"/>
    <col min="18" max="18" width="28" style="263" customWidth="1"/>
    <col min="19" max="19" width="37.33203125" bestFit="1" customWidth="1"/>
    <col min="20" max="20" width="45.88671875" bestFit="1" customWidth="1"/>
    <col min="21" max="21" width="27.6640625" bestFit="1" customWidth="1"/>
    <col min="22" max="22" width="27.44140625" bestFit="1" customWidth="1"/>
    <col min="23" max="23" width="32.88671875" bestFit="1" customWidth="1"/>
    <col min="24" max="24" width="26.33203125" bestFit="1" customWidth="1"/>
    <col min="25" max="25" width="28.33203125" bestFit="1" customWidth="1"/>
    <col min="26" max="26" width="30.6640625" bestFit="1" customWidth="1"/>
    <col min="27" max="27" width="27.33203125" bestFit="1" customWidth="1"/>
    <col min="28" max="28" width="29.109375" bestFit="1" customWidth="1"/>
    <col min="29" max="29" width="31.6640625" bestFit="1" customWidth="1"/>
    <col min="30" max="31" width="27.33203125" bestFit="1" customWidth="1"/>
  </cols>
  <sheetData>
    <row r="1" spans="1:18" x14ac:dyDescent="0.3">
      <c r="A1" s="238" t="s">
        <v>279</v>
      </c>
      <c r="B1" s="239" t="s">
        <v>280</v>
      </c>
      <c r="C1" s="239" t="s">
        <v>281</v>
      </c>
      <c r="D1" s="240" t="s">
        <v>282</v>
      </c>
      <c r="E1" s="240" t="s">
        <v>283</v>
      </c>
      <c r="F1" s="241" t="s">
        <v>284</v>
      </c>
      <c r="G1" s="241" t="s">
        <v>285</v>
      </c>
      <c r="H1" s="241" t="s">
        <v>286</v>
      </c>
      <c r="I1" s="241" t="s">
        <v>287</v>
      </c>
      <c r="J1" s="241" t="s">
        <v>288</v>
      </c>
      <c r="K1" s="241" t="s">
        <v>289</v>
      </c>
      <c r="L1" s="241" t="s">
        <v>290</v>
      </c>
      <c r="M1" s="241" t="s">
        <v>291</v>
      </c>
      <c r="N1" s="242" t="s">
        <v>292</v>
      </c>
      <c r="O1" s="243" t="s">
        <v>293</v>
      </c>
      <c r="P1" s="244" t="s">
        <v>294</v>
      </c>
      <c r="Q1" s="245" t="s">
        <v>295</v>
      </c>
      <c r="R1" s="245" t="s">
        <v>296</v>
      </c>
    </row>
    <row r="2" spans="1:18" ht="43.2" x14ac:dyDescent="0.3">
      <c r="A2" s="246" t="s">
        <v>297</v>
      </c>
      <c r="B2" s="246" t="s">
        <v>298</v>
      </c>
      <c r="C2" s="246" t="s">
        <v>95</v>
      </c>
      <c r="D2" s="246">
        <f>M2/F2</f>
        <v>0.68145818441744099</v>
      </c>
      <c r="E2" s="246">
        <f>M2/I2</f>
        <v>0.16386387074596082</v>
      </c>
      <c r="F2" s="247">
        <v>4197</v>
      </c>
      <c r="G2" s="247">
        <v>9093</v>
      </c>
      <c r="H2" s="247">
        <v>4164</v>
      </c>
      <c r="I2" s="248">
        <v>17454</v>
      </c>
      <c r="J2" s="249">
        <f>'[1]2019 CBO Data'!G2*'[1]Conversion Factors'!$D$22</f>
        <v>613.02</v>
      </c>
      <c r="K2" s="249">
        <f>'[1]2019 CBO Data'!H2*'[1]Conversion Factors'!$D$22</f>
        <v>887.4</v>
      </c>
      <c r="L2" s="249">
        <f>'[1]2019 CBO Data'!I2*'[1]Conversion Factors'!$D$22</f>
        <v>1359.66</v>
      </c>
      <c r="M2" s="249">
        <f>'[1]2019 CBO Data'!J2*'[1]Conversion Factors'!$D$22</f>
        <v>2860.08</v>
      </c>
      <c r="N2" s="250">
        <f>'[1]Force Cost Analysis'!B6</f>
        <v>1321.5303600689344</v>
      </c>
      <c r="O2" s="247">
        <f>ROUNDUP('[1]2019 CBO Data'!K2,0)</f>
        <v>11</v>
      </c>
      <c r="P2" s="251">
        <f t="shared" ref="P2:P46" si="0">O2*M2</f>
        <v>31460.879999999997</v>
      </c>
      <c r="Q2" s="252" t="s">
        <v>299</v>
      </c>
      <c r="R2" s="253" t="s">
        <v>300</v>
      </c>
    </row>
    <row r="3" spans="1:18" ht="43.2" x14ac:dyDescent="0.3">
      <c r="A3" s="246" t="s">
        <v>301</v>
      </c>
      <c r="B3" s="246" t="s">
        <v>298</v>
      </c>
      <c r="C3" s="246" t="s">
        <v>95</v>
      </c>
      <c r="D3" s="246">
        <f t="shared" ref="D3:D10" si="1">M3/F3</f>
        <v>0.21055045871559633</v>
      </c>
      <c r="E3" s="246">
        <f t="shared" ref="E3:E10" si="2">M3/I3</f>
        <v>6.0378011631127111E-2</v>
      </c>
      <c r="F3" s="247">
        <v>4142</v>
      </c>
      <c r="G3" s="247">
        <v>9093</v>
      </c>
      <c r="H3" s="247">
        <v>1209</v>
      </c>
      <c r="I3" s="248">
        <v>14444</v>
      </c>
      <c r="J3" s="249">
        <f>'[1]2019 CBO Data'!G3*'[1]Conversion Factors'!$D$22</f>
        <v>214.20000000000002</v>
      </c>
      <c r="K3" s="249">
        <f>'[1]2019 CBO Data'!H3*'[1]Conversion Factors'!$D$22</f>
        <v>394.74</v>
      </c>
      <c r="L3" s="249">
        <f>'[1]2019 CBO Data'!I3*'[1]Conversion Factors'!$D$22</f>
        <v>263.16000000000003</v>
      </c>
      <c r="M3" s="249">
        <f>'[1]2019 CBO Data'!J3*'[1]Conversion Factors'!$D$22</f>
        <v>872.1</v>
      </c>
      <c r="N3" s="250">
        <f>'[1]Force Cost Analysis'!B6</f>
        <v>1321.5303600689344</v>
      </c>
      <c r="O3" s="247">
        <f>ROUNDUP('[1]2019 CBO Data'!K3,0)</f>
        <v>5</v>
      </c>
      <c r="P3" s="251">
        <f t="shared" si="0"/>
        <v>4360.5</v>
      </c>
      <c r="Q3" s="252" t="s">
        <v>299</v>
      </c>
      <c r="R3" s="253" t="s">
        <v>300</v>
      </c>
    </row>
    <row r="4" spans="1:18" ht="43.2" x14ac:dyDescent="0.3">
      <c r="A4" s="246" t="s">
        <v>302</v>
      </c>
      <c r="B4" s="246" t="s">
        <v>298</v>
      </c>
      <c r="C4" s="246" t="s">
        <v>95</v>
      </c>
      <c r="D4" s="246">
        <f t="shared" si="1"/>
        <v>0.63316677920324105</v>
      </c>
      <c r="E4" s="246">
        <f t="shared" si="2"/>
        <v>0.1637366858739305</v>
      </c>
      <c r="F4" s="247">
        <v>4443</v>
      </c>
      <c r="G4" s="247">
        <v>8593</v>
      </c>
      <c r="H4" s="247">
        <v>4145</v>
      </c>
      <c r="I4" s="248">
        <v>17181</v>
      </c>
      <c r="J4" s="249">
        <f>'[1]2019 CBO Data'!G4*'[1]Conversion Factors'!$D$22</f>
        <v>554.88</v>
      </c>
      <c r="K4" s="249">
        <f>'[1]2019 CBO Data'!H4*'[1]Conversion Factors'!$D$22</f>
        <v>838.44</v>
      </c>
      <c r="L4" s="249">
        <f>'[1]2019 CBO Data'!I4*'[1]Conversion Factors'!$D$22</f>
        <v>1419.84</v>
      </c>
      <c r="M4" s="249">
        <f>'[1]2019 CBO Data'!J4*'[1]Conversion Factors'!$D$22</f>
        <v>2813.16</v>
      </c>
      <c r="N4" s="250">
        <f>'[1]Force Cost Analysis'!B10</f>
        <v>1675.5341335110702</v>
      </c>
      <c r="O4" s="247">
        <f>ROUNDUP('[1]2019 CBO Data'!K4,0)</f>
        <v>7</v>
      </c>
      <c r="P4" s="251">
        <f t="shared" si="0"/>
        <v>19692.12</v>
      </c>
      <c r="Q4" s="252" t="s">
        <v>303</v>
      </c>
      <c r="R4" s="253" t="s">
        <v>300</v>
      </c>
    </row>
    <row r="5" spans="1:18" ht="43.2" x14ac:dyDescent="0.3">
      <c r="A5" s="246" t="s">
        <v>304</v>
      </c>
      <c r="B5" s="246" t="s">
        <v>298</v>
      </c>
      <c r="C5" s="246" t="s">
        <v>95</v>
      </c>
      <c r="D5" s="246">
        <f t="shared" si="1"/>
        <v>0.18291235955056181</v>
      </c>
      <c r="E5" s="246">
        <f t="shared" si="2"/>
        <v>5.7180189673340362E-2</v>
      </c>
      <c r="F5" s="247">
        <v>4450</v>
      </c>
      <c r="G5" s="247">
        <v>8593</v>
      </c>
      <c r="H5" s="247">
        <v>1192</v>
      </c>
      <c r="I5" s="248">
        <v>14235</v>
      </c>
      <c r="J5" s="249">
        <f>'[1]2019 CBO Data'!G5*'[1]Conversion Factors'!$D$22</f>
        <v>183.6</v>
      </c>
      <c r="K5" s="249">
        <f>'[1]2019 CBO Data'!H5*'[1]Conversion Factors'!$D$22</f>
        <v>373.32</v>
      </c>
      <c r="L5" s="249">
        <f>'[1]2019 CBO Data'!I5*'[1]Conversion Factors'!$D$22</f>
        <v>257.04000000000002</v>
      </c>
      <c r="M5" s="249">
        <f>'[1]2019 CBO Data'!J5*'[1]Conversion Factors'!$D$22</f>
        <v>813.96</v>
      </c>
      <c r="N5" s="250">
        <f>'[1]Force Cost Analysis'!B10</f>
        <v>1675.5341335110702</v>
      </c>
      <c r="O5" s="247">
        <f>ROUNDUP('[1]2019 CBO Data'!K5,0)</f>
        <v>2</v>
      </c>
      <c r="P5" s="251">
        <f t="shared" si="0"/>
        <v>1627.92</v>
      </c>
      <c r="Q5" s="252" t="s">
        <v>303</v>
      </c>
      <c r="R5" s="253" t="s">
        <v>300</v>
      </c>
    </row>
    <row r="6" spans="1:18" ht="43.2" x14ac:dyDescent="0.3">
      <c r="A6" s="246" t="s">
        <v>305</v>
      </c>
      <c r="B6" s="246" t="s">
        <v>298</v>
      </c>
      <c r="C6" s="246" t="s">
        <v>95</v>
      </c>
      <c r="D6" s="246">
        <f t="shared" si="1"/>
        <v>0.64497164461247636</v>
      </c>
      <c r="E6" s="246">
        <f t="shared" si="2"/>
        <v>0.16797046153846154</v>
      </c>
      <c r="F6" s="247">
        <v>4232</v>
      </c>
      <c r="G6" s="247">
        <v>8093</v>
      </c>
      <c r="H6" s="247">
        <v>3925</v>
      </c>
      <c r="I6" s="248">
        <v>16250</v>
      </c>
      <c r="J6" s="249">
        <f>'[1]2019 CBO Data'!G6*'[1]Conversion Factors'!$D$22</f>
        <v>552.84</v>
      </c>
      <c r="K6" s="249">
        <f>'[1]2019 CBO Data'!H6*'[1]Conversion Factors'!$D$22</f>
        <v>789.48</v>
      </c>
      <c r="L6" s="249">
        <f>'[1]2019 CBO Data'!I6*'[1]Conversion Factors'!$D$22</f>
        <v>1387.2</v>
      </c>
      <c r="M6" s="249">
        <f>'[1]2019 CBO Data'!J6*'[1]Conversion Factors'!$D$22</f>
        <v>2729.52</v>
      </c>
      <c r="N6" s="250">
        <f>'[1]Force Cost Analysis'!B25</f>
        <v>344.02773436311622</v>
      </c>
      <c r="O6" s="247">
        <f>ROUNDUP('[1]2019 CBO Data'!K6,0)</f>
        <v>13</v>
      </c>
      <c r="P6" s="251">
        <f t="shared" si="0"/>
        <v>35483.760000000002</v>
      </c>
      <c r="Q6" s="252" t="s">
        <v>306</v>
      </c>
      <c r="R6" s="253" t="s">
        <v>300</v>
      </c>
    </row>
    <row r="7" spans="1:18" ht="43.2" x14ac:dyDescent="0.3">
      <c r="A7" s="246" t="s">
        <v>307</v>
      </c>
      <c r="B7" s="246" t="s">
        <v>298</v>
      </c>
      <c r="C7" s="246" t="s">
        <v>95</v>
      </c>
      <c r="D7" s="246">
        <f t="shared" si="1"/>
        <v>0.21380162967125596</v>
      </c>
      <c r="E7" s="246">
        <f t="shared" si="2"/>
        <v>5.98348667138476E-2</v>
      </c>
      <c r="F7" s="247">
        <v>3559</v>
      </c>
      <c r="G7" s="247">
        <v>8093</v>
      </c>
      <c r="H7" s="247">
        <v>1065</v>
      </c>
      <c r="I7" s="248">
        <v>12717</v>
      </c>
      <c r="J7" s="249">
        <f>'[1]2019 CBO Data'!G7*'[1]Conversion Factors'!$D$22</f>
        <v>165.24</v>
      </c>
      <c r="K7" s="249">
        <f>'[1]2019 CBO Data'!H7*'[1]Conversion Factors'!$D$22</f>
        <v>351.90000000000003</v>
      </c>
      <c r="L7" s="249">
        <f>'[1]2019 CBO Data'!I7*'[1]Conversion Factors'!$D$22</f>
        <v>243.78</v>
      </c>
      <c r="M7" s="249">
        <f>'[1]2019 CBO Data'!J7*'[1]Conversion Factors'!$D$22</f>
        <v>760.92</v>
      </c>
      <c r="N7" s="250">
        <f>'[1]Force Cost Analysis'!B25</f>
        <v>344.02773436311622</v>
      </c>
      <c r="O7" s="247">
        <f>ROUNDUP('[1]2019 CBO Data'!K7,0)</f>
        <v>20</v>
      </c>
      <c r="P7" s="251">
        <f t="shared" si="0"/>
        <v>15218.4</v>
      </c>
      <c r="Q7" s="252" t="s">
        <v>306</v>
      </c>
      <c r="R7" s="253" t="s">
        <v>300</v>
      </c>
    </row>
    <row r="8" spans="1:18" ht="43.2" x14ac:dyDescent="0.3">
      <c r="A8" s="246" t="s">
        <v>308</v>
      </c>
      <c r="B8" s="246" t="s">
        <v>298</v>
      </c>
      <c r="C8" s="246" t="s">
        <v>95</v>
      </c>
      <c r="D8" s="246">
        <f t="shared" si="1"/>
        <v>0.28308964604697318</v>
      </c>
      <c r="E8" s="246">
        <f t="shared" si="2"/>
        <v>0.19887985126655822</v>
      </c>
      <c r="F8" s="247">
        <v>3023</v>
      </c>
      <c r="G8" s="247">
        <v>0</v>
      </c>
      <c r="H8" s="247">
        <v>1280</v>
      </c>
      <c r="I8" s="248">
        <v>4303</v>
      </c>
      <c r="J8" s="249">
        <f>'[1]2019 CBO Data'!G8*'[1]Conversion Factors'!$D$22</f>
        <v>463.08</v>
      </c>
      <c r="K8" s="249">
        <f>'[1]2019 CBO Data'!H8*'[1]Conversion Factors'!$D$22</f>
        <v>0</v>
      </c>
      <c r="L8" s="249">
        <f>'[1]2019 CBO Data'!I8*'[1]Conversion Factors'!$D$22</f>
        <v>392.7</v>
      </c>
      <c r="M8" s="249">
        <f>'[1]2019 CBO Data'!J8*'[1]Conversion Factors'!$D$22</f>
        <v>855.78</v>
      </c>
      <c r="N8" s="250">
        <f>'[1]Force Cost Analysis'!B19</f>
        <v>3896.1238137738205</v>
      </c>
      <c r="O8" s="247">
        <f>ROUNDUP('[1]2019 CBO Data'!K8,0)</f>
        <v>13</v>
      </c>
      <c r="P8" s="251">
        <f t="shared" si="0"/>
        <v>11125.14</v>
      </c>
      <c r="Q8" s="252" t="s">
        <v>309</v>
      </c>
      <c r="R8" s="253" t="s">
        <v>300</v>
      </c>
    </row>
    <row r="9" spans="1:18" ht="43.2" x14ac:dyDescent="0.3">
      <c r="A9" s="246" t="s">
        <v>310</v>
      </c>
      <c r="B9" s="246" t="s">
        <v>298</v>
      </c>
      <c r="C9" s="246" t="s">
        <v>95</v>
      </c>
      <c r="D9" s="246">
        <f t="shared" si="1"/>
        <v>8.0643623361144209E-2</v>
      </c>
      <c r="E9" s="246">
        <f t="shared" si="2"/>
        <v>7.3891518019657806E-2</v>
      </c>
      <c r="F9" s="247">
        <v>2517</v>
      </c>
      <c r="G9" s="247">
        <v>0</v>
      </c>
      <c r="H9" s="247">
        <v>230</v>
      </c>
      <c r="I9" s="248">
        <v>2747</v>
      </c>
      <c r="J9" s="249">
        <f>'[1]2019 CBO Data'!G9*'[1]Conversion Factors'!$D$22</f>
        <v>158.1</v>
      </c>
      <c r="K9" s="249">
        <f>'[1]2019 CBO Data'!H9*'[1]Conversion Factors'!$D$22</f>
        <v>0</v>
      </c>
      <c r="L9" s="249">
        <f>'[1]2019 CBO Data'!I9*'[1]Conversion Factors'!$D$22</f>
        <v>44.88</v>
      </c>
      <c r="M9" s="249">
        <f>'[1]2019 CBO Data'!J9*'[1]Conversion Factors'!$D$22</f>
        <v>202.98</v>
      </c>
      <c r="N9" s="250">
        <f>'[1]Force Cost Analysis'!B19</f>
        <v>3896.1238137738205</v>
      </c>
      <c r="O9" s="247">
        <f>ROUNDUP('[1]2019 CBO Data'!K9,0)</f>
        <v>12</v>
      </c>
      <c r="P9" s="251">
        <f t="shared" si="0"/>
        <v>2435.7599999999998</v>
      </c>
      <c r="Q9" s="252" t="s">
        <v>309</v>
      </c>
      <c r="R9" s="253" t="s">
        <v>300</v>
      </c>
    </row>
    <row r="10" spans="1:18" ht="158.4" x14ac:dyDescent="0.3">
      <c r="A10" s="254" t="s">
        <v>311</v>
      </c>
      <c r="B10" s="246" t="s">
        <v>298</v>
      </c>
      <c r="C10" s="255" t="s">
        <v>94</v>
      </c>
      <c r="D10" s="246">
        <f t="shared" si="1"/>
        <v>0.25282563025210081</v>
      </c>
      <c r="E10" s="246">
        <f t="shared" si="2"/>
        <v>0.18144339497139816</v>
      </c>
      <c r="F10" s="256">
        <f>'[1]2019 CBO Data'!C10/'For BTF'!$O$10</f>
        <v>2489.8461538461538</v>
      </c>
      <c r="G10" s="256">
        <f>'[1]2019 CBO Data'!D10/'For BTF'!$O$10</f>
        <v>0</v>
      </c>
      <c r="H10" s="256">
        <f>'[1]2019 CBO Data'!E10/'For BTF'!$O$10</f>
        <v>979.53846153846155</v>
      </c>
      <c r="I10" s="256">
        <f>'[1]2019 CBO Data'!F10/'For BTF'!$O$10</f>
        <v>3469.3846153846152</v>
      </c>
      <c r="J10" s="257">
        <f>('[1]2019 CBO Data'!G10*'[1]Conversion Factors'!$D$22)/$O$10</f>
        <v>279.24461538461537</v>
      </c>
      <c r="K10" s="257">
        <f>('[1]2019 CBO Data'!H10*'[1]Conversion Factors'!$D$22)/$O$10</f>
        <v>0</v>
      </c>
      <c r="L10" s="257">
        <f>('[1]2019 CBO Data'!I10*'[1]Conversion Factors'!$D$22)/$O$10</f>
        <v>350.25230769230768</v>
      </c>
      <c r="M10" s="257">
        <f>('[1]2019 CBO Data'!J10*'[1]Conversion Factors'!$D$22)/$O$10</f>
        <v>629.49692307692305</v>
      </c>
      <c r="N10" s="258">
        <f>N6/(G6+F6)*I10*3</f>
        <v>290.52280621460943</v>
      </c>
      <c r="O10" s="256">
        <v>13</v>
      </c>
      <c r="P10" s="251">
        <f t="shared" si="0"/>
        <v>8183.46</v>
      </c>
      <c r="Q10" s="259" t="s">
        <v>312</v>
      </c>
      <c r="R10" s="260" t="s">
        <v>313</v>
      </c>
    </row>
    <row r="11" spans="1:18" ht="86.4" hidden="1" x14ac:dyDescent="0.3">
      <c r="A11" s="246" t="s">
        <v>314</v>
      </c>
      <c r="B11" s="246" t="s">
        <v>315</v>
      </c>
      <c r="C11" s="255" t="s">
        <v>95</v>
      </c>
      <c r="D11" s="255"/>
      <c r="E11" s="255"/>
      <c r="F11" s="247">
        <v>3205</v>
      </c>
      <c r="G11" s="247">
        <v>761</v>
      </c>
      <c r="H11" s="247">
        <v>2623</v>
      </c>
      <c r="I11" s="248">
        <v>6589</v>
      </c>
      <c r="J11" s="249">
        <f>'[1]2019 CBO Data'!G11*'[1]Conversion Factors'!$D$22</f>
        <v>525.29999999999995</v>
      </c>
      <c r="K11" s="249">
        <f>'[1]2019 CBO Data'!H11*'[1]Conversion Factors'!$D$22</f>
        <v>201.96</v>
      </c>
      <c r="L11" s="249">
        <f>'[1]2019 CBO Data'!I11*'[1]Conversion Factors'!$D$22</f>
        <v>553.86</v>
      </c>
      <c r="M11" s="249">
        <f>'[1]2019 CBO Data'!J11*'[1]Conversion Factors'!$D$22</f>
        <v>1281.1200000000001</v>
      </c>
      <c r="N11" s="261">
        <v>11327.4</v>
      </c>
      <c r="O11" s="247">
        <f>ROUNDUP('[1]2019 CBO Data'!K11,0)</f>
        <v>11</v>
      </c>
      <c r="P11" s="251">
        <f t="shared" si="0"/>
        <v>14092.320000000002</v>
      </c>
      <c r="Q11" s="262" t="s">
        <v>316</v>
      </c>
      <c r="R11" s="253" t="s">
        <v>317</v>
      </c>
    </row>
    <row r="12" spans="1:18" ht="72" hidden="1" x14ac:dyDescent="0.3">
      <c r="A12" s="246" t="s">
        <v>318</v>
      </c>
      <c r="B12" s="246" t="s">
        <v>315</v>
      </c>
      <c r="C12" s="255" t="s">
        <v>95</v>
      </c>
      <c r="D12" s="255"/>
      <c r="E12" s="255"/>
      <c r="F12" s="247">
        <v>1627</v>
      </c>
      <c r="G12" s="247">
        <v>1297</v>
      </c>
      <c r="H12" s="247">
        <v>1934</v>
      </c>
      <c r="I12" s="248">
        <v>4858</v>
      </c>
      <c r="J12" s="249">
        <f>'[1]2019 CBO Data'!G12*'[1]Conversion Factors'!$D$22</f>
        <v>382.5</v>
      </c>
      <c r="K12" s="249">
        <f>'[1]2019 CBO Data'!H12*'[1]Conversion Factors'!$D$22</f>
        <v>221.34</v>
      </c>
      <c r="L12" s="249">
        <f>'[1]2019 CBO Data'!I12*'[1]Conversion Factors'!$D$22</f>
        <v>439.62</v>
      </c>
      <c r="M12" s="249">
        <f>'[1]2019 CBO Data'!J12*'[1]Conversion Factors'!$D$22</f>
        <v>1043.46</v>
      </c>
      <c r="N12" s="258">
        <f>'[1]Force Cost Analysis'!B35</f>
        <v>2446.4033914763854</v>
      </c>
      <c r="O12" s="247">
        <f>ROUNDUP('[1]2019 CBO Data'!K12,0)</f>
        <v>10</v>
      </c>
      <c r="P12" s="251">
        <f t="shared" si="0"/>
        <v>10434.6</v>
      </c>
      <c r="Q12" s="262" t="s">
        <v>319</v>
      </c>
      <c r="R12" s="253" t="s">
        <v>320</v>
      </c>
    </row>
    <row r="13" spans="1:18" ht="28.8" hidden="1" x14ac:dyDescent="0.3">
      <c r="A13" s="246" t="s">
        <v>321</v>
      </c>
      <c r="B13" s="246" t="s">
        <v>315</v>
      </c>
      <c r="C13" s="255" t="s">
        <v>95</v>
      </c>
      <c r="D13" s="255"/>
      <c r="E13" s="255"/>
      <c r="F13" s="247">
        <v>339</v>
      </c>
      <c r="G13" s="247">
        <v>95</v>
      </c>
      <c r="H13" s="247">
        <v>287</v>
      </c>
      <c r="I13" s="248">
        <v>721</v>
      </c>
      <c r="J13" s="249">
        <f>'[1]2019 CBO Data'!G13*'[1]Conversion Factors'!$D$22</f>
        <v>62.22</v>
      </c>
      <c r="K13" s="249">
        <f>'[1]2019 CBO Data'!H13*'[1]Conversion Factors'!$D$22</f>
        <v>24.48</v>
      </c>
      <c r="L13" s="249">
        <f>'[1]2019 CBO Data'!I13*'[1]Conversion Factors'!$D$22</f>
        <v>60.18</v>
      </c>
      <c r="M13" s="249">
        <f>'[1]2019 CBO Data'!J13*'[1]Conversion Factors'!$D$22</f>
        <v>146.88</v>
      </c>
      <c r="N13" s="261">
        <f>5800/3</f>
        <v>1933.3333333333333</v>
      </c>
      <c r="O13" s="247">
        <f>ROUNDUP('[1]2019 CBO Data'!K13,0)</f>
        <v>70</v>
      </c>
      <c r="P13" s="251">
        <f t="shared" si="0"/>
        <v>10281.6</v>
      </c>
      <c r="Q13" s="262" t="s">
        <v>322</v>
      </c>
      <c r="R13" s="253" t="s">
        <v>323</v>
      </c>
    </row>
    <row r="14" spans="1:18" ht="28.8" hidden="1" x14ac:dyDescent="0.3">
      <c r="A14" s="246" t="s">
        <v>324</v>
      </c>
      <c r="B14" s="246" t="s">
        <v>315</v>
      </c>
      <c r="C14" s="255" t="s">
        <v>95</v>
      </c>
      <c r="D14" s="255"/>
      <c r="E14" s="255"/>
      <c r="F14" s="247">
        <v>245</v>
      </c>
      <c r="G14" s="247">
        <v>88</v>
      </c>
      <c r="H14" s="247">
        <v>220</v>
      </c>
      <c r="I14" s="248">
        <v>553</v>
      </c>
      <c r="J14" s="249">
        <f>'[1]2019 CBO Data'!G14*'[1]Conversion Factors'!$D$22</f>
        <v>73.44</v>
      </c>
      <c r="K14" s="249">
        <f>'[1]2019 CBO Data'!H14*'[1]Conversion Factors'!$D$22</f>
        <v>29.580000000000002</v>
      </c>
      <c r="L14" s="249">
        <f>'[1]2019 CBO Data'!I14*'[1]Conversion Factors'!$D$22</f>
        <v>72.42</v>
      </c>
      <c r="M14" s="249">
        <f>'[1]2019 CBO Data'!J14*'[1]Conversion Factors'!$D$22</f>
        <v>175.44</v>
      </c>
      <c r="N14" s="258">
        <f>'[1]Force Cost Analysis'!B65</f>
        <v>1063.2888000000003</v>
      </c>
      <c r="O14" s="247">
        <f>ROUNDUP('[1]2019 CBO Data'!K14,0)</f>
        <v>22</v>
      </c>
      <c r="P14" s="251">
        <f t="shared" si="0"/>
        <v>3859.68</v>
      </c>
      <c r="Q14" s="263" t="s">
        <v>325</v>
      </c>
      <c r="R14" s="260" t="s">
        <v>326</v>
      </c>
    </row>
    <row r="15" spans="1:18" hidden="1" x14ac:dyDescent="0.3">
      <c r="A15" s="246" t="s">
        <v>327</v>
      </c>
      <c r="B15" s="246" t="s">
        <v>315</v>
      </c>
      <c r="C15" s="255" t="s">
        <v>95</v>
      </c>
      <c r="D15" s="255"/>
      <c r="E15" s="255"/>
      <c r="F15" s="247">
        <v>186</v>
      </c>
      <c r="G15" s="247">
        <v>74</v>
      </c>
      <c r="H15" s="247">
        <v>172</v>
      </c>
      <c r="I15" s="248">
        <v>432</v>
      </c>
      <c r="J15" s="249">
        <f>'[1]2019 CBO Data'!G15*'[1]Conversion Factors'!$D$22</f>
        <v>53.04</v>
      </c>
      <c r="K15" s="249">
        <f>'[1]2019 CBO Data'!H15*'[1]Conversion Factors'!$D$22</f>
        <v>22.44</v>
      </c>
      <c r="L15" s="249">
        <f>'[1]2019 CBO Data'!I15*'[1]Conversion Factors'!$D$22</f>
        <v>38.76</v>
      </c>
      <c r="M15" s="249">
        <f>'[1]2019 CBO Data'!J15*'[1]Conversion Factors'!$D$22</f>
        <v>114.24000000000001</v>
      </c>
      <c r="N15" s="258">
        <f>'[1]Force Cost Analysis'!B66</f>
        <v>620.96065920000012</v>
      </c>
      <c r="O15" s="247">
        <f>ROUNDUP('[1]2019 CBO Data'!K15,0)</f>
        <v>23</v>
      </c>
      <c r="P15" s="251">
        <f t="shared" si="0"/>
        <v>2627.5200000000004</v>
      </c>
      <c r="Q15" s="262" t="s">
        <v>328</v>
      </c>
      <c r="R15" s="260"/>
    </row>
    <row r="16" spans="1:18" ht="43.2" hidden="1" x14ac:dyDescent="0.3">
      <c r="A16" s="246" t="s">
        <v>329</v>
      </c>
      <c r="B16" s="246" t="s">
        <v>315</v>
      </c>
      <c r="C16" s="255" t="s">
        <v>95</v>
      </c>
      <c r="D16" s="255"/>
      <c r="E16" s="255"/>
      <c r="F16" s="247">
        <v>220</v>
      </c>
      <c r="G16" s="247">
        <v>82</v>
      </c>
      <c r="H16" s="247">
        <v>200</v>
      </c>
      <c r="I16" s="248">
        <v>502</v>
      </c>
      <c r="J16" s="249">
        <f>'[1]2019 CBO Data'!G16*'[1]Conversion Factors'!$D$22</f>
        <v>69.36</v>
      </c>
      <c r="K16" s="249">
        <f>'[1]2019 CBO Data'!H16*'[1]Conversion Factors'!$D$22</f>
        <v>28.560000000000002</v>
      </c>
      <c r="L16" s="249">
        <f>'[1]2019 CBO Data'!I16*'[1]Conversion Factors'!$D$22</f>
        <v>43.86</v>
      </c>
      <c r="M16" s="249">
        <f>'[1]2019 CBO Data'!J16*'[1]Conversion Factors'!$D$22</f>
        <v>141.78</v>
      </c>
      <c r="N16" s="258">
        <f>'[1]Force Cost Analysis'!B64</f>
        <v>4584.9863687040006</v>
      </c>
      <c r="O16" s="247">
        <f>ROUNDUP('[1]2019 CBO Data'!K16,0)</f>
        <v>3</v>
      </c>
      <c r="P16" s="251">
        <f t="shared" si="0"/>
        <v>425.34000000000003</v>
      </c>
      <c r="Q16" s="262" t="s">
        <v>330</v>
      </c>
      <c r="R16" s="260" t="s">
        <v>331</v>
      </c>
    </row>
    <row r="17" spans="1:18" ht="43.2" hidden="1" x14ac:dyDescent="0.3">
      <c r="A17" s="246" t="s">
        <v>332</v>
      </c>
      <c r="B17" s="246" t="s">
        <v>315</v>
      </c>
      <c r="C17" s="255" t="s">
        <v>95</v>
      </c>
      <c r="D17" s="255"/>
      <c r="E17" s="255"/>
      <c r="F17" s="247">
        <v>189</v>
      </c>
      <c r="G17" s="247">
        <v>45</v>
      </c>
      <c r="H17" s="247">
        <v>155</v>
      </c>
      <c r="I17" s="248">
        <v>389</v>
      </c>
      <c r="J17" s="249">
        <f>'[1]2019 CBO Data'!G17*'[1]Conversion Factors'!$D$22</f>
        <v>78.540000000000006</v>
      </c>
      <c r="K17" s="249">
        <f>'[1]2019 CBO Data'!H17*'[1]Conversion Factors'!$D$22</f>
        <v>46.92</v>
      </c>
      <c r="L17" s="249">
        <f>'[1]2019 CBO Data'!I17*'[1]Conversion Factors'!$D$22</f>
        <v>34.68</v>
      </c>
      <c r="M17" s="249">
        <f>'[1]2019 CBO Data'!J17*'[1]Conversion Factors'!$D$22</f>
        <v>160.14000000000001</v>
      </c>
      <c r="N17" s="261">
        <f>10200/3</f>
        <v>3400</v>
      </c>
      <c r="O17" s="247">
        <f>ROUNDUP('[1]2019 CBO Data'!K17,0)</f>
        <v>53</v>
      </c>
      <c r="P17" s="251">
        <f t="shared" si="0"/>
        <v>8487.42</v>
      </c>
      <c r="Q17" s="262" t="s">
        <v>333</v>
      </c>
      <c r="R17" s="253" t="s">
        <v>334</v>
      </c>
    </row>
    <row r="18" spans="1:18" hidden="1" x14ac:dyDescent="0.3">
      <c r="A18" s="246" t="s">
        <v>335</v>
      </c>
      <c r="B18" s="246" t="s">
        <v>315</v>
      </c>
      <c r="C18" s="255" t="s">
        <v>95</v>
      </c>
      <c r="D18" s="255"/>
      <c r="E18" s="255"/>
      <c r="F18" s="247">
        <v>705</v>
      </c>
      <c r="G18" s="247">
        <v>167</v>
      </c>
      <c r="H18" s="247">
        <v>577</v>
      </c>
      <c r="I18" s="248">
        <v>1449</v>
      </c>
      <c r="J18" s="249">
        <f>'[1]2019 CBO Data'!G18*'[1]Conversion Factors'!$D$22</f>
        <v>121.38</v>
      </c>
      <c r="K18" s="249">
        <f>'[1]2019 CBO Data'!H18*'[1]Conversion Factors'!$D$22</f>
        <v>46.92</v>
      </c>
      <c r="L18" s="249">
        <f>'[1]2019 CBO Data'!I18*'[1]Conversion Factors'!$D$22</f>
        <v>126.48</v>
      </c>
      <c r="M18" s="249">
        <f>'[1]2019 CBO Data'!J18*'[1]Conversion Factors'!$D$22</f>
        <v>294.78000000000003</v>
      </c>
      <c r="N18" s="258">
        <f>'[1]Force Cost Analysis'!B62</f>
        <v>3676.6400126400004</v>
      </c>
      <c r="O18" s="247">
        <f>ROUNDUP('[1]2019 CBO Data'!K18,0)</f>
        <v>35</v>
      </c>
      <c r="P18" s="251">
        <f t="shared" si="0"/>
        <v>10317.300000000001</v>
      </c>
      <c r="Q18" s="262" t="s">
        <v>336</v>
      </c>
      <c r="R18" s="253"/>
    </row>
    <row r="19" spans="1:18" ht="43.2" hidden="1" x14ac:dyDescent="0.3">
      <c r="A19" s="246" t="s">
        <v>337</v>
      </c>
      <c r="B19" s="246" t="s">
        <v>338</v>
      </c>
      <c r="C19" s="255" t="s">
        <v>95</v>
      </c>
      <c r="D19" s="255"/>
      <c r="E19" s="255"/>
      <c r="F19" s="247">
        <v>1489</v>
      </c>
      <c r="G19" s="247">
        <v>1988</v>
      </c>
      <c r="H19" s="247">
        <v>2300</v>
      </c>
      <c r="I19" s="248">
        <v>5777</v>
      </c>
      <c r="J19" s="249">
        <f>'[1]2019 CBO Data'!G19*'[1]Conversion Factors'!$D$22</f>
        <v>141.78</v>
      </c>
      <c r="K19" s="249">
        <f>'[1]2019 CBO Data'!H19*'[1]Conversion Factors'!$D$22</f>
        <v>169.32</v>
      </c>
      <c r="L19" s="249">
        <f>'[1]2019 CBO Data'!I19*'[1]Conversion Factors'!$D$22</f>
        <v>520.20000000000005</v>
      </c>
      <c r="M19" s="249">
        <f>'[1]2019 CBO Data'!J19*'[1]Conversion Factors'!$D$22</f>
        <v>831.30000000000007</v>
      </c>
      <c r="N19" s="261">
        <f>($N$6/$I$6)*I19</f>
        <v>122.30450593327522</v>
      </c>
      <c r="O19" s="247">
        <f>ROUNDUP('[1]2019 CBO Data'!K19,0)</f>
        <v>24</v>
      </c>
      <c r="P19" s="251">
        <f t="shared" si="0"/>
        <v>19951.2</v>
      </c>
      <c r="Q19" s="262" t="s">
        <v>339</v>
      </c>
      <c r="R19" s="253" t="s">
        <v>340</v>
      </c>
    </row>
    <row r="20" spans="1:18" ht="43.2" hidden="1" x14ac:dyDescent="0.3">
      <c r="A20" s="246" t="s">
        <v>341</v>
      </c>
      <c r="B20" s="246" t="s">
        <v>338</v>
      </c>
      <c r="C20" s="255" t="s">
        <v>95</v>
      </c>
      <c r="D20" s="255"/>
      <c r="E20" s="255"/>
      <c r="F20" s="247">
        <v>2067</v>
      </c>
      <c r="G20" s="247">
        <v>562</v>
      </c>
      <c r="H20" s="247">
        <v>1739</v>
      </c>
      <c r="I20" s="248">
        <v>4368</v>
      </c>
      <c r="J20" s="249">
        <f>'[1]2019 CBO Data'!G20*'[1]Conversion Factors'!$D$22</f>
        <v>75.48</v>
      </c>
      <c r="K20" s="249">
        <f>'[1]2019 CBO Data'!H20*'[1]Conversion Factors'!$D$22</f>
        <v>56.1</v>
      </c>
      <c r="L20" s="249">
        <f>'[1]2019 CBO Data'!I20*'[1]Conversion Factors'!$D$22</f>
        <v>387.6</v>
      </c>
      <c r="M20" s="249">
        <f>'[1]2019 CBO Data'!J20*'[1]Conversion Factors'!$D$22</f>
        <v>519.18000000000006</v>
      </c>
      <c r="N20" s="261">
        <f>($N$6/$I$6)*I20</f>
        <v>92.47465499680564</v>
      </c>
      <c r="O20" s="247">
        <f>ROUNDUP('[1]2019 CBO Data'!K20,0)</f>
        <v>8</v>
      </c>
      <c r="P20" s="251">
        <f t="shared" si="0"/>
        <v>4153.4400000000005</v>
      </c>
      <c r="Q20" s="262" t="s">
        <v>339</v>
      </c>
      <c r="R20" s="253" t="s">
        <v>340</v>
      </c>
    </row>
    <row r="21" spans="1:18" hidden="1" x14ac:dyDescent="0.3">
      <c r="A21" s="254" t="s">
        <v>342</v>
      </c>
      <c r="B21" s="246" t="s">
        <v>338</v>
      </c>
      <c r="C21" s="255" t="s">
        <v>95</v>
      </c>
      <c r="D21" s="255"/>
      <c r="E21" s="255"/>
      <c r="F21" s="247">
        <v>765</v>
      </c>
      <c r="G21" s="247">
        <v>889</v>
      </c>
      <c r="H21" s="247">
        <v>1094</v>
      </c>
      <c r="I21" s="248">
        <v>2748</v>
      </c>
      <c r="J21" s="249">
        <f>'[1]2019 CBO Data'!G21*'[1]Conversion Factors'!$D$22</f>
        <v>202.98</v>
      </c>
      <c r="K21" s="249">
        <f>'[1]2019 CBO Data'!H21*'[1]Conversion Factors'!$D$22</f>
        <v>182.58</v>
      </c>
      <c r="L21" s="249">
        <f>'[1]2019 CBO Data'!I21*'[1]Conversion Factors'!$D$22</f>
        <v>238.68</v>
      </c>
      <c r="M21" s="249">
        <f>'[1]2019 CBO Data'!J21*'[1]Conversion Factors'!$D$22</f>
        <v>624.24</v>
      </c>
      <c r="N21" s="264">
        <f>'[1]Force Cost Analysis'!B56</f>
        <v>5447.935087856592</v>
      </c>
      <c r="O21" s="256">
        <v>13</v>
      </c>
      <c r="P21" s="251">
        <f t="shared" si="0"/>
        <v>8115.12</v>
      </c>
      <c r="Q21" s="252" t="s">
        <v>343</v>
      </c>
      <c r="R21" s="260"/>
    </row>
    <row r="22" spans="1:18" ht="43.2" hidden="1" x14ac:dyDescent="0.3">
      <c r="A22" s="246" t="s">
        <v>344</v>
      </c>
      <c r="B22" s="246" t="s">
        <v>315</v>
      </c>
      <c r="C22" s="255" t="s">
        <v>95</v>
      </c>
      <c r="D22" s="255"/>
      <c r="E22" s="255"/>
      <c r="F22" s="247">
        <v>321</v>
      </c>
      <c r="G22" s="247">
        <v>77</v>
      </c>
      <c r="H22" s="247">
        <v>263</v>
      </c>
      <c r="I22" s="248">
        <v>661</v>
      </c>
      <c r="J22" s="249">
        <f>'[1]2019 CBO Data'!G22*'[1]Conversion Factors'!$D$22</f>
        <v>73.44</v>
      </c>
      <c r="K22" s="249">
        <f>'[1]2019 CBO Data'!H22*'[1]Conversion Factors'!$D$22</f>
        <v>42.84</v>
      </c>
      <c r="L22" s="249">
        <f>'[1]2019 CBO Data'!I22*'[1]Conversion Factors'!$D$22</f>
        <v>58.14</v>
      </c>
      <c r="M22" s="249">
        <f>'[1]2019 CBO Data'!J22*'[1]Conversion Factors'!$D$22</f>
        <v>174.42000000000002</v>
      </c>
      <c r="N22" s="258">
        <f>'[1]Force Cost Analysis'!B67</f>
        <v>2893.5464299203013</v>
      </c>
      <c r="O22" s="247">
        <v>4</v>
      </c>
      <c r="P22" s="251">
        <f t="shared" si="0"/>
        <v>697.68000000000006</v>
      </c>
      <c r="Q22" s="262" t="s">
        <v>345</v>
      </c>
      <c r="R22" s="260" t="s">
        <v>346</v>
      </c>
    </row>
    <row r="23" spans="1:18" ht="43.2" hidden="1" x14ac:dyDescent="0.3">
      <c r="A23" s="246" t="s">
        <v>347</v>
      </c>
      <c r="B23" s="246" t="s">
        <v>315</v>
      </c>
      <c r="C23" s="255" t="s">
        <v>95</v>
      </c>
      <c r="D23" s="255"/>
      <c r="E23" s="255"/>
      <c r="F23" s="247">
        <v>321</v>
      </c>
      <c r="G23" s="247">
        <v>77</v>
      </c>
      <c r="H23" s="247">
        <v>263</v>
      </c>
      <c r="I23" s="248">
        <v>661</v>
      </c>
      <c r="J23" s="249">
        <f>'[1]2019 CBO Data'!G22*'[1]Conversion Factors'!$D$22</f>
        <v>73.44</v>
      </c>
      <c r="K23" s="249">
        <f>'[1]2019 CBO Data'!H22*'[1]Conversion Factors'!$D$22</f>
        <v>42.84</v>
      </c>
      <c r="L23" s="249">
        <f>'[1]2019 CBO Data'!I22*'[1]Conversion Factors'!$D$22</f>
        <v>58.14</v>
      </c>
      <c r="M23" s="249">
        <f>'[1]2019 CBO Data'!J22*'[1]Conversion Factors'!$D$22</f>
        <v>174.42000000000002</v>
      </c>
      <c r="N23" s="258">
        <f>'[1]Force Cost Analysis'!B67</f>
        <v>2893.5464299203013</v>
      </c>
      <c r="O23" s="247">
        <v>14</v>
      </c>
      <c r="P23" s="251">
        <f t="shared" si="0"/>
        <v>2441.88</v>
      </c>
      <c r="Q23" s="262" t="s">
        <v>348</v>
      </c>
      <c r="R23" s="260" t="s">
        <v>349</v>
      </c>
    </row>
    <row r="24" spans="1:18" ht="107.25" hidden="1" customHeight="1" x14ac:dyDescent="0.3">
      <c r="A24" s="246" t="s">
        <v>350</v>
      </c>
      <c r="B24" s="246" t="s">
        <v>315</v>
      </c>
      <c r="C24" s="255" t="s">
        <v>95</v>
      </c>
      <c r="D24" s="255"/>
      <c r="E24" s="255"/>
      <c r="F24" s="247">
        <v>631</v>
      </c>
      <c r="G24" s="247">
        <v>503</v>
      </c>
      <c r="H24" s="247">
        <v>751</v>
      </c>
      <c r="I24" s="248">
        <v>1885</v>
      </c>
      <c r="J24" s="249">
        <f>'[1]2019 CBO Data'!G23*'[1]Conversion Factors'!$D$22</f>
        <v>121.38</v>
      </c>
      <c r="K24" s="249">
        <f>'[1]2019 CBO Data'!H23*'[1]Conversion Factors'!$D$22</f>
        <v>70.38</v>
      </c>
      <c r="L24" s="249">
        <f>'[1]2019 CBO Data'!I23*'[1]Conversion Factors'!$D$22</f>
        <v>160.14000000000001</v>
      </c>
      <c r="M24" s="249">
        <f>'[1]2019 CBO Data'!J23*'[1]Conversion Factors'!$D$22</f>
        <v>351.90000000000003</v>
      </c>
      <c r="N24" s="258">
        <f>('[1]Force Cost Analysis'!B63+228)*6</f>
        <v>1604.377674600883</v>
      </c>
      <c r="O24" s="247">
        <f>ROUNDUP('[1]2019 CBO Data'!K23,0)</f>
        <v>7</v>
      </c>
      <c r="P24" s="251">
        <f t="shared" si="0"/>
        <v>2463.3000000000002</v>
      </c>
      <c r="Q24" s="253" t="s">
        <v>351</v>
      </c>
      <c r="R24" s="260" t="s">
        <v>352</v>
      </c>
    </row>
    <row r="25" spans="1:18" ht="86.4" hidden="1" x14ac:dyDescent="0.3">
      <c r="A25" s="254" t="s">
        <v>353</v>
      </c>
      <c r="B25" s="246" t="s">
        <v>315</v>
      </c>
      <c r="C25" s="255" t="s">
        <v>95</v>
      </c>
      <c r="D25" s="255"/>
      <c r="E25" s="255"/>
      <c r="F25" s="256">
        <f>'[1]2019 CBO Data'!C24/$O$25</f>
        <v>657.23076923076928</v>
      </c>
      <c r="G25" s="256">
        <f>'[1]2019 CBO Data'!D24/$O$25</f>
        <v>0</v>
      </c>
      <c r="H25" s="256">
        <f>'[1]2019 CBO Data'!E24/$O$25</f>
        <v>422.92307692307691</v>
      </c>
      <c r="I25" s="256">
        <f>'[1]2019 CBO Data'!F24/$O$25</f>
        <v>1080.1538461538462</v>
      </c>
      <c r="J25" s="257">
        <f>('[1]2019 CBO Data'!G24*'[1]Conversion Factors'!$D$22)/$O$25</f>
        <v>59.709230769230771</v>
      </c>
      <c r="K25" s="257">
        <f>('[1]2019 CBO Data'!H24*'[1]Conversion Factors'!$D$22)/$O$25</f>
        <v>0</v>
      </c>
      <c r="L25" s="257">
        <f>('[1]2019 CBO Data'!I24*'[1]Conversion Factors'!$D$22)/$O$25</f>
        <v>93.13384615384615</v>
      </c>
      <c r="M25" s="257">
        <f>('[1]2019 CBO Data'!J24*'[1]Conversion Factors'!$D$22)/$O$25</f>
        <v>152.84307692307692</v>
      </c>
      <c r="N25" s="250">
        <f>N6/(G6+F6)*I25*1.5</f>
        <v>45.225502692403289</v>
      </c>
      <c r="O25" s="256">
        <v>13</v>
      </c>
      <c r="P25" s="251">
        <f t="shared" si="0"/>
        <v>1986.96</v>
      </c>
      <c r="Q25" s="262" t="s">
        <v>354</v>
      </c>
      <c r="R25" s="260" t="s">
        <v>355</v>
      </c>
    </row>
    <row r="26" spans="1:18" ht="86.4" hidden="1" x14ac:dyDescent="0.3">
      <c r="A26" s="254" t="s">
        <v>356</v>
      </c>
      <c r="B26" s="246" t="s">
        <v>315</v>
      </c>
      <c r="C26" s="255" t="s">
        <v>94</v>
      </c>
      <c r="D26" s="255"/>
      <c r="E26" s="255"/>
      <c r="F26" s="256">
        <f>'[1]2019 CBO Data'!C25/'For BTF'!$O$26</f>
        <v>1388.1428571428571</v>
      </c>
      <c r="G26" s="256">
        <f>'[1]2019 CBO Data'!D25/'For BTF'!$O$26</f>
        <v>0</v>
      </c>
      <c r="H26" s="256">
        <f>'[1]2019 CBO Data'!E25/'For BTF'!$O$26</f>
        <v>893.28571428571433</v>
      </c>
      <c r="I26" s="256">
        <f>'[1]2019 CBO Data'!F25/'For BTF'!$O$26</f>
        <v>2281.4285714285716</v>
      </c>
      <c r="J26" s="257">
        <f>('[1]2019 CBO Data'!G25*'[1]Conversion Factors'!$D$22)/$O$26</f>
        <v>161.30571428571429</v>
      </c>
      <c r="K26" s="257">
        <f>('[1]2019 CBO Data'!H25*'[1]Conversion Factors'!$D$22)/$O$26</f>
        <v>0</v>
      </c>
      <c r="L26" s="257">
        <f>('[1]2019 CBO Data'!I25*'[1]Conversion Factors'!$D$22)/$O$26</f>
        <v>196.71428571428572</v>
      </c>
      <c r="M26" s="257">
        <f>('[1]2019 CBO Data'!J25*'[1]Conversion Factors'!$D$22)/$O$26</f>
        <v>358.02</v>
      </c>
      <c r="N26" s="261">
        <f>($N$10/$I$10)*I26</f>
        <v>191.04455234235755</v>
      </c>
      <c r="O26" s="256">
        <v>7</v>
      </c>
      <c r="P26" s="251">
        <f t="shared" si="0"/>
        <v>2506.14</v>
      </c>
      <c r="Q26" s="262" t="s">
        <v>357</v>
      </c>
      <c r="R26" s="260" t="s">
        <v>358</v>
      </c>
    </row>
    <row r="27" spans="1:18" ht="72" hidden="1" x14ac:dyDescent="0.3">
      <c r="A27" s="254" t="s">
        <v>359</v>
      </c>
      <c r="B27" s="246" t="s">
        <v>338</v>
      </c>
      <c r="C27" s="255" t="s">
        <v>94</v>
      </c>
      <c r="D27" s="255"/>
      <c r="E27" s="255"/>
      <c r="F27" s="256">
        <f>'[1]2019 CBO Data'!C26/'For BTF'!$O$27</f>
        <v>126.66666666666667</v>
      </c>
      <c r="G27" s="256">
        <f>'[1]2019 CBO Data'!D26/'For BTF'!$O$27</f>
        <v>0</v>
      </c>
      <c r="H27" s="256">
        <f>'[1]2019 CBO Data'!E26/'For BTF'!$O$27</f>
        <v>81.333333333333329</v>
      </c>
      <c r="I27" s="256">
        <f>'[1]2019 CBO Data'!F26/'For BTF'!$O$27</f>
        <v>208</v>
      </c>
      <c r="J27" s="257">
        <f>('[1]2019 CBO Data'!G26*'[1]Conversion Factors'!$D$22)/$O$27</f>
        <v>11.9</v>
      </c>
      <c r="K27" s="257">
        <f>('[1]2019 CBO Data'!H26*'[1]Conversion Factors'!$D$22)/$O$27</f>
        <v>0</v>
      </c>
      <c r="L27" s="257">
        <f>('[1]2019 CBO Data'!I26*'[1]Conversion Factors'!$D$22)/$O$27</f>
        <v>18.02</v>
      </c>
      <c r="M27" s="257">
        <f>('[1]2019 CBO Data'!J26*'[1]Conversion Factors'!$D$22)/$O$27</f>
        <v>29.92</v>
      </c>
      <c r="N27" s="261">
        <f>($N$10/$I$10)*I27</f>
        <v>17.417712474043366</v>
      </c>
      <c r="O27" s="256">
        <v>3</v>
      </c>
      <c r="P27" s="251">
        <f t="shared" si="0"/>
        <v>89.76</v>
      </c>
      <c r="Q27" s="252" t="s">
        <v>360</v>
      </c>
      <c r="R27" s="260" t="s">
        <v>361</v>
      </c>
    </row>
    <row r="28" spans="1:18" hidden="1" x14ac:dyDescent="0.3">
      <c r="A28" s="246" t="s">
        <v>362</v>
      </c>
      <c r="B28" s="246" t="s">
        <v>363</v>
      </c>
      <c r="C28" s="246" t="s">
        <v>95</v>
      </c>
      <c r="D28" s="246"/>
      <c r="E28" s="246"/>
      <c r="F28" s="247">
        <v>351</v>
      </c>
      <c r="G28" s="247">
        <v>437</v>
      </c>
      <c r="H28" s="247">
        <v>405</v>
      </c>
      <c r="I28" s="248">
        <v>1193</v>
      </c>
      <c r="J28" s="249">
        <f>'[1]2019 CBO Data'!G27*'[1]Conversion Factors'!$D$22</f>
        <v>61.2</v>
      </c>
      <c r="K28" s="249">
        <f>'[1]2019 CBO Data'!H27*'[1]Conversion Factors'!$D$22</f>
        <v>65.28</v>
      </c>
      <c r="L28" s="249">
        <f>'[1]2019 CBO Data'!I27*'[1]Conversion Factors'!$D$22</f>
        <v>109.14</v>
      </c>
      <c r="M28" s="249">
        <f>'[1]2019 CBO Data'!J27*'[1]Conversion Factors'!$D$22</f>
        <v>235.62</v>
      </c>
      <c r="N28" s="258">
        <f>'[1]Force Cost Analysis'!B68*12</f>
        <v>246.88334902758913</v>
      </c>
      <c r="O28" s="247">
        <f>ROUNDUP('[1]2019 CBO Data'!K27,0)</f>
        <v>17</v>
      </c>
      <c r="P28" s="251">
        <f t="shared" si="0"/>
        <v>4005.54</v>
      </c>
      <c r="Q28" s="262" t="s">
        <v>364</v>
      </c>
      <c r="R28" s="260"/>
    </row>
    <row r="29" spans="1:18" hidden="1" x14ac:dyDescent="0.3">
      <c r="A29" s="246" t="s">
        <v>365</v>
      </c>
      <c r="B29" s="246" t="s">
        <v>363</v>
      </c>
      <c r="C29" s="246" t="s">
        <v>95</v>
      </c>
      <c r="D29" s="246"/>
      <c r="E29" s="246"/>
      <c r="F29" s="247">
        <v>429</v>
      </c>
      <c r="G29" s="247">
        <v>590</v>
      </c>
      <c r="H29" s="247">
        <v>523</v>
      </c>
      <c r="I29" s="248">
        <v>1542</v>
      </c>
      <c r="J29" s="249">
        <f>'[1]2019 CBO Data'!G28*'[1]Conversion Factors'!$D$22</f>
        <v>96.9</v>
      </c>
      <c r="K29" s="249">
        <f>'[1]2019 CBO Data'!H28*'[1]Conversion Factors'!$D$22</f>
        <v>87.72</v>
      </c>
      <c r="L29" s="249">
        <f>'[1]2019 CBO Data'!I28*'[1]Conversion Factors'!$D$22</f>
        <v>142.80000000000001</v>
      </c>
      <c r="M29" s="249">
        <f>'[1]2019 CBO Data'!J28*'[1]Conversion Factors'!$D$22</f>
        <v>327.42</v>
      </c>
      <c r="N29" s="258">
        <f>'[1]Force Cost Analysis'!B75*12</f>
        <v>544.25524993371323</v>
      </c>
      <c r="O29" s="247">
        <f>ROUNDUP('[1]2019 CBO Data'!K28,0)</f>
        <v>25</v>
      </c>
      <c r="P29" s="251">
        <f t="shared" si="0"/>
        <v>8185.5</v>
      </c>
      <c r="Q29" s="262" t="s">
        <v>366</v>
      </c>
      <c r="R29" s="260"/>
    </row>
    <row r="30" spans="1:18" hidden="1" x14ac:dyDescent="0.3">
      <c r="A30" s="246" t="s">
        <v>367</v>
      </c>
      <c r="B30" s="246" t="s">
        <v>363</v>
      </c>
      <c r="C30" s="246" t="s">
        <v>95</v>
      </c>
      <c r="D30" s="246"/>
      <c r="E30" s="246"/>
      <c r="F30" s="247">
        <v>449</v>
      </c>
      <c r="G30" s="247">
        <v>374</v>
      </c>
      <c r="H30" s="247">
        <v>423</v>
      </c>
      <c r="I30" s="248">
        <v>1246</v>
      </c>
      <c r="J30" s="249">
        <f>'[1]2019 CBO Data'!G29*'[1]Conversion Factors'!$D$22</f>
        <v>72.42</v>
      </c>
      <c r="K30" s="249">
        <f>'[1]2019 CBO Data'!H29*'[1]Conversion Factors'!$D$22</f>
        <v>56.1</v>
      </c>
      <c r="L30" s="249">
        <f>'[1]2019 CBO Data'!I29*'[1]Conversion Factors'!$D$22</f>
        <v>113.22</v>
      </c>
      <c r="M30" s="249">
        <f>'[1]2019 CBO Data'!J29*'[1]Conversion Factors'!$D$22</f>
        <v>241.74</v>
      </c>
      <c r="N30" s="264">
        <f>'[1]Force Cost Analysis'!B76*12</f>
        <v>329.00317359337004</v>
      </c>
      <c r="O30" s="247">
        <f>ROUNDUP('[1]2019 CBO Data'!K29,0)</f>
        <v>41</v>
      </c>
      <c r="P30" s="251">
        <f t="shared" si="0"/>
        <v>9911.34</v>
      </c>
      <c r="Q30" s="252" t="s">
        <v>368</v>
      </c>
      <c r="R30" s="260"/>
    </row>
    <row r="31" spans="1:18" hidden="1" x14ac:dyDescent="0.3">
      <c r="A31" s="246" t="s">
        <v>369</v>
      </c>
      <c r="B31" s="246" t="s">
        <v>363</v>
      </c>
      <c r="C31" s="246" t="s">
        <v>95</v>
      </c>
      <c r="D31" s="246"/>
      <c r="E31" s="246"/>
      <c r="F31" s="247">
        <v>428</v>
      </c>
      <c r="G31" s="247">
        <v>1148</v>
      </c>
      <c r="H31" s="247">
        <v>810</v>
      </c>
      <c r="I31" s="248">
        <v>2386</v>
      </c>
      <c r="J31" s="249">
        <f>'[1]2019 CBO Data'!G30*'[1]Conversion Factors'!$D$22</f>
        <v>134.64000000000001</v>
      </c>
      <c r="K31" s="249">
        <f>'[1]2019 CBO Data'!H30*'[1]Conversion Factors'!$D$22</f>
        <v>171.36</v>
      </c>
      <c r="L31" s="249">
        <f>'[1]2019 CBO Data'!I30*'[1]Conversion Factors'!$D$22</f>
        <v>214.20000000000002</v>
      </c>
      <c r="M31" s="249">
        <f>'[1]2019 CBO Data'!J30*'[1]Conversion Factors'!$D$22</f>
        <v>520.20000000000005</v>
      </c>
      <c r="N31" s="258">
        <f>'[1]Force Cost Analysis'!B77*12</f>
        <v>1877.8893037736834</v>
      </c>
      <c r="O31" s="247">
        <f>ROUNDUP('[1]2019 CBO Data'!K30,0)</f>
        <v>14</v>
      </c>
      <c r="P31" s="251">
        <f t="shared" si="0"/>
        <v>7282.8000000000011</v>
      </c>
      <c r="Q31" s="262" t="s">
        <v>370</v>
      </c>
      <c r="R31" s="260"/>
    </row>
    <row r="32" spans="1:18" ht="59.25" hidden="1" customHeight="1" x14ac:dyDescent="0.3">
      <c r="A32" s="246" t="s">
        <v>371</v>
      </c>
      <c r="B32" s="246" t="s">
        <v>363</v>
      </c>
      <c r="C32" s="246" t="s">
        <v>95</v>
      </c>
      <c r="D32" s="246"/>
      <c r="E32" s="246"/>
      <c r="F32" s="247">
        <v>429</v>
      </c>
      <c r="G32" s="247">
        <v>1510</v>
      </c>
      <c r="H32" s="247">
        <v>997</v>
      </c>
      <c r="I32" s="248">
        <v>2936</v>
      </c>
      <c r="J32" s="249">
        <f>'[1]2019 CBO Data'!G31*'[1]Conversion Factors'!$D$22</f>
        <v>134.64000000000001</v>
      </c>
      <c r="K32" s="249">
        <f>'[1]2019 CBO Data'!H31*'[1]Conversion Factors'!$D$22</f>
        <v>225.42000000000002</v>
      </c>
      <c r="L32" s="249">
        <f>'[1]2019 CBO Data'!I31*'[1]Conversion Factors'!$D$22</f>
        <v>271.32</v>
      </c>
      <c r="M32" s="249">
        <f>'[1]2019 CBO Data'!J31*'[1]Conversion Factors'!$D$22</f>
        <v>631.38</v>
      </c>
      <c r="N32" s="261">
        <f>12*(10800/70)</f>
        <v>1851.4285714285713</v>
      </c>
      <c r="O32" s="247">
        <f>ROUNDUP('[1]2019 CBO Data'!K31,0)</f>
        <v>9</v>
      </c>
      <c r="P32" s="251">
        <f t="shared" si="0"/>
        <v>5682.42</v>
      </c>
      <c r="Q32" s="253" t="s">
        <v>372</v>
      </c>
      <c r="R32" s="253" t="s">
        <v>373</v>
      </c>
    </row>
    <row r="33" spans="1:18" hidden="1" x14ac:dyDescent="0.3">
      <c r="A33" s="246" t="s">
        <v>374</v>
      </c>
      <c r="B33" s="246" t="s">
        <v>363</v>
      </c>
      <c r="C33" s="246" t="s">
        <v>95</v>
      </c>
      <c r="D33" s="246"/>
      <c r="E33" s="246"/>
      <c r="F33" s="247">
        <v>1312</v>
      </c>
      <c r="G33" s="247">
        <v>1220</v>
      </c>
      <c r="H33" s="247">
        <v>1301</v>
      </c>
      <c r="I33" s="248">
        <v>3833</v>
      </c>
      <c r="J33" s="249">
        <f>'[1]2019 CBO Data'!G32*'[1]Conversion Factors'!$D$22</f>
        <v>283.56</v>
      </c>
      <c r="K33" s="249">
        <f>'[1]2019 CBO Data'!H32*'[1]Conversion Factors'!$D$22</f>
        <v>181.56</v>
      </c>
      <c r="L33" s="249">
        <f>'[1]2019 CBO Data'!I32*'[1]Conversion Factors'!$D$22</f>
        <v>357</v>
      </c>
      <c r="M33" s="249">
        <f>'[1]2019 CBO Data'!J32*'[1]Conversion Factors'!$D$22</f>
        <v>822.12</v>
      </c>
      <c r="N33" s="258">
        <f>'[1]Force Cost Analysis'!B71*12</f>
        <v>1148.9376915504481</v>
      </c>
      <c r="O33" s="247">
        <f>ROUNDUP('[1]2019 CBO Data'!K32,0)</f>
        <v>4</v>
      </c>
      <c r="P33" s="251">
        <f t="shared" si="0"/>
        <v>3288.48</v>
      </c>
      <c r="Q33" s="262" t="s">
        <v>375</v>
      </c>
      <c r="R33" s="253"/>
    </row>
    <row r="34" spans="1:18" hidden="1" x14ac:dyDescent="0.3">
      <c r="A34" s="246" t="s">
        <v>376</v>
      </c>
      <c r="B34" s="246" t="s">
        <v>363</v>
      </c>
      <c r="C34" s="246" t="s">
        <v>95</v>
      </c>
      <c r="D34" s="246"/>
      <c r="E34" s="246"/>
      <c r="F34" s="247">
        <v>943</v>
      </c>
      <c r="G34" s="247">
        <v>1685</v>
      </c>
      <c r="H34" s="247">
        <v>1350</v>
      </c>
      <c r="I34" s="248">
        <v>3978</v>
      </c>
      <c r="J34" s="249">
        <f>'[1]2019 CBO Data'!G33*'[1]Conversion Factors'!$D$22</f>
        <v>242.76</v>
      </c>
      <c r="K34" s="249">
        <f>'[1]2019 CBO Data'!H33*'[1]Conversion Factors'!$D$22</f>
        <v>250.92000000000002</v>
      </c>
      <c r="L34" s="249">
        <f>'[1]2019 CBO Data'!I33*'[1]Conversion Factors'!$D$22</f>
        <v>372.3</v>
      </c>
      <c r="M34" s="249">
        <f>'[1]2019 CBO Data'!J33*'[1]Conversion Factors'!$D$22</f>
        <v>865.98</v>
      </c>
      <c r="N34" s="258">
        <f>'[1]Force Cost Analysis'!B69*12</f>
        <v>4113.5113553184001</v>
      </c>
      <c r="O34" s="247">
        <f>ROUNDUP('[1]2019 CBO Data'!K33,0)</f>
        <v>5</v>
      </c>
      <c r="P34" s="251">
        <f t="shared" si="0"/>
        <v>4329.8999999999996</v>
      </c>
      <c r="Q34" s="262" t="s">
        <v>377</v>
      </c>
      <c r="R34" s="260"/>
    </row>
    <row r="35" spans="1:18" hidden="1" x14ac:dyDescent="0.3">
      <c r="A35" s="246" t="s">
        <v>378</v>
      </c>
      <c r="B35" s="246" t="s">
        <v>363</v>
      </c>
      <c r="C35" s="246" t="s">
        <v>95</v>
      </c>
      <c r="D35" s="246"/>
      <c r="E35" s="246"/>
      <c r="F35" s="247">
        <v>2117</v>
      </c>
      <c r="G35" s="247">
        <v>3602</v>
      </c>
      <c r="H35" s="247">
        <v>2938</v>
      </c>
      <c r="I35" s="248">
        <v>8657</v>
      </c>
      <c r="J35" s="249">
        <f>'[1]2019 CBO Data'!G34*'[1]Conversion Factors'!$D$22</f>
        <v>545.70000000000005</v>
      </c>
      <c r="K35" s="249">
        <f>'[1]2019 CBO Data'!H34*'[1]Conversion Factors'!$D$22</f>
        <v>537.54</v>
      </c>
      <c r="L35" s="249">
        <f>'[1]2019 CBO Data'!I34*'[1]Conversion Factors'!$D$22</f>
        <v>789.48</v>
      </c>
      <c r="M35" s="249">
        <f>'[1]2019 CBO Data'!J34*'[1]Conversion Factors'!$D$22</f>
        <v>1872.72</v>
      </c>
      <c r="N35" s="258">
        <f>'[1]Force Cost Analysis'!B70*12</f>
        <v>20247.69531103878</v>
      </c>
      <c r="O35" s="247">
        <f>ROUNDUP('[1]2019 CBO Data'!K34,0)</f>
        <v>2</v>
      </c>
      <c r="P35" s="251">
        <f t="shared" si="0"/>
        <v>3745.44</v>
      </c>
      <c r="Q35" s="262" t="s">
        <v>379</v>
      </c>
      <c r="R35" s="260"/>
    </row>
    <row r="36" spans="1:18" hidden="1" x14ac:dyDescent="0.3">
      <c r="A36" s="246" t="s">
        <v>380</v>
      </c>
      <c r="B36" s="246" t="s">
        <v>363</v>
      </c>
      <c r="C36" s="246" t="s">
        <v>95</v>
      </c>
      <c r="D36" s="246"/>
      <c r="E36" s="246"/>
      <c r="F36" s="247">
        <v>805</v>
      </c>
      <c r="G36" s="247">
        <v>595</v>
      </c>
      <c r="H36" s="247">
        <v>719</v>
      </c>
      <c r="I36" s="248">
        <v>2119</v>
      </c>
      <c r="J36" s="249">
        <f>'[1]2019 CBO Data'!G35*'[1]Conversion Factors'!$D$22</f>
        <v>123.42</v>
      </c>
      <c r="K36" s="249">
        <f>'[1]2019 CBO Data'!H35*'[1]Conversion Factors'!$D$22</f>
        <v>88.74</v>
      </c>
      <c r="L36" s="249">
        <f>'[1]2019 CBO Data'!I35*'[1]Conversion Factors'!$D$22</f>
        <v>204</v>
      </c>
      <c r="M36" s="249">
        <f>'[1]2019 CBO Data'!J35*'[1]Conversion Factors'!$D$22</f>
        <v>416.16</v>
      </c>
      <c r="N36" s="258">
        <f>'[1]Force Cost Analysis'!B72*12</f>
        <v>963.33965280000029</v>
      </c>
      <c r="O36" s="247">
        <f>ROUNDUP('[1]2019 CBO Data'!K35,0)</f>
        <v>19</v>
      </c>
      <c r="P36" s="251">
        <f t="shared" si="0"/>
        <v>7907.0400000000009</v>
      </c>
      <c r="Q36" s="265" t="s">
        <v>381</v>
      </c>
      <c r="R36" s="260"/>
    </row>
    <row r="37" spans="1:18" hidden="1" x14ac:dyDescent="0.3">
      <c r="A37" s="246" t="s">
        <v>382</v>
      </c>
      <c r="B37" s="246" t="s">
        <v>363</v>
      </c>
      <c r="C37" s="246" t="s">
        <v>95</v>
      </c>
      <c r="D37" s="246"/>
      <c r="E37" s="246"/>
      <c r="F37" s="247">
        <v>784</v>
      </c>
      <c r="G37" s="247">
        <v>822</v>
      </c>
      <c r="H37" s="247">
        <v>825</v>
      </c>
      <c r="I37" s="248">
        <v>2431</v>
      </c>
      <c r="J37" s="249">
        <f>'[1]2019 CBO Data'!G36*'[1]Conversion Factors'!$D$22</f>
        <v>122.4</v>
      </c>
      <c r="K37" s="249">
        <f>'[1]2019 CBO Data'!H36*'[1]Conversion Factors'!$D$22</f>
        <v>122.4</v>
      </c>
      <c r="L37" s="249">
        <f>'[1]2019 CBO Data'!I36*'[1]Conversion Factors'!$D$22</f>
        <v>218.28</v>
      </c>
      <c r="M37" s="249">
        <f>'[1]2019 CBO Data'!J36*'[1]Conversion Factors'!$D$22</f>
        <v>463.08</v>
      </c>
      <c r="N37" s="258">
        <f>'[1]Force Cost Analysis'!B74*12</f>
        <v>4711.9818401994244</v>
      </c>
      <c r="O37" s="247">
        <f>ROUNDUP('[1]2019 CBO Data'!K36,0)</f>
        <v>4</v>
      </c>
      <c r="P37" s="251">
        <f t="shared" si="0"/>
        <v>1852.32</v>
      </c>
      <c r="Q37" s="265" t="s">
        <v>383</v>
      </c>
      <c r="R37" s="260"/>
    </row>
    <row r="38" spans="1:18" hidden="1" x14ac:dyDescent="0.3">
      <c r="A38" s="246" t="s">
        <v>384</v>
      </c>
      <c r="B38" s="246" t="s">
        <v>363</v>
      </c>
      <c r="C38" s="246" t="s">
        <v>95</v>
      </c>
      <c r="D38" s="246"/>
      <c r="E38" s="246"/>
      <c r="F38" s="247">
        <v>455</v>
      </c>
      <c r="G38" s="247">
        <v>461</v>
      </c>
      <c r="H38" s="247">
        <v>470</v>
      </c>
      <c r="I38" s="248">
        <v>1386</v>
      </c>
      <c r="J38" s="249">
        <f>'[1]2019 CBO Data'!G37*'[1]Conversion Factors'!$D$22</f>
        <v>96.9</v>
      </c>
      <c r="K38" s="249">
        <f>'[1]2019 CBO Data'!H37*'[1]Conversion Factors'!$D$22</f>
        <v>68.34</v>
      </c>
      <c r="L38" s="249">
        <f>'[1]2019 CBO Data'!I37*'[1]Conversion Factors'!$D$22</f>
        <v>135.66</v>
      </c>
      <c r="M38" s="249">
        <f>'[1]2019 CBO Data'!J37*'[1]Conversion Factors'!$D$22</f>
        <v>300.89999999999998</v>
      </c>
      <c r="N38" s="258">
        <f>'[1]Force Cost Analysis'!B73*12</f>
        <v>2525.6750400000001</v>
      </c>
      <c r="O38" s="247">
        <f>ROUNDUP('[1]2019 CBO Data'!K37,0)</f>
        <v>16</v>
      </c>
      <c r="P38" s="251">
        <f t="shared" si="0"/>
        <v>4814.3999999999996</v>
      </c>
      <c r="Q38" s="262" t="s">
        <v>385</v>
      </c>
      <c r="R38" s="253"/>
    </row>
    <row r="39" spans="1:18" hidden="1" x14ac:dyDescent="0.3">
      <c r="A39" s="246" t="s">
        <v>386</v>
      </c>
      <c r="B39" s="246" t="s">
        <v>363</v>
      </c>
      <c r="C39" s="246" t="s">
        <v>95</v>
      </c>
      <c r="D39" s="246"/>
      <c r="E39" s="246"/>
      <c r="F39" s="247">
        <v>615</v>
      </c>
      <c r="G39" s="247">
        <v>659</v>
      </c>
      <c r="H39" s="247">
        <v>654</v>
      </c>
      <c r="I39" s="248">
        <v>1928</v>
      </c>
      <c r="J39" s="249">
        <f>'[1]2019 CBO Data'!G38*'[1]Conversion Factors'!$D$22</f>
        <v>106.08</v>
      </c>
      <c r="K39" s="249">
        <f>'[1]2019 CBO Data'!H38*'[1]Conversion Factors'!$D$22</f>
        <v>97.92</v>
      </c>
      <c r="L39" s="249">
        <f>'[1]2019 CBO Data'!I38*'[1]Conversion Factors'!$D$22</f>
        <v>172.38</v>
      </c>
      <c r="M39" s="249">
        <f>'[1]2019 CBO Data'!J38*'[1]Conversion Factors'!$D$22</f>
        <v>376.38</v>
      </c>
      <c r="N39" s="258">
        <f>'[1]Force Cost Analysis'!B79*12</f>
        <v>693.00668480305603</v>
      </c>
      <c r="O39" s="247">
        <f>ROUNDUP('[1]2019 CBO Data'!K38,0)</f>
        <v>27</v>
      </c>
      <c r="P39" s="251">
        <f t="shared" si="0"/>
        <v>10162.26</v>
      </c>
      <c r="Q39" s="265" t="s">
        <v>387</v>
      </c>
      <c r="R39" s="260"/>
    </row>
    <row r="40" spans="1:18" hidden="1" x14ac:dyDescent="0.3">
      <c r="A40" s="246" t="s">
        <v>388</v>
      </c>
      <c r="B40" s="246" t="s">
        <v>363</v>
      </c>
      <c r="C40" s="246" t="s">
        <v>95</v>
      </c>
      <c r="D40" s="246"/>
      <c r="E40" s="246"/>
      <c r="F40" s="247">
        <v>903</v>
      </c>
      <c r="G40" s="247">
        <v>1169</v>
      </c>
      <c r="H40" s="247">
        <v>1064</v>
      </c>
      <c r="I40" s="248">
        <v>3136</v>
      </c>
      <c r="J40" s="249">
        <f>'[1]2019 CBO Data'!G39*'[1]Conversion Factors'!$D$22</f>
        <v>145.86000000000001</v>
      </c>
      <c r="K40" s="249">
        <f>'[1]2019 CBO Data'!H39*'[1]Conversion Factors'!$D$22</f>
        <v>174.42000000000002</v>
      </c>
      <c r="L40" s="249">
        <f>'[1]2019 CBO Data'!I39*'[1]Conversion Factors'!$D$22</f>
        <v>276.42</v>
      </c>
      <c r="M40" s="249">
        <f>'[1]2019 CBO Data'!J39*'[1]Conversion Factors'!$D$22</f>
        <v>596.70000000000005</v>
      </c>
      <c r="N40" s="264">
        <f>'[1]Force Cost Analysis'!B78*12</f>
        <v>1547.0149226411654</v>
      </c>
      <c r="O40" s="247">
        <f>ROUNDUP('[1]2019 CBO Data'!K39,0)</f>
        <v>4</v>
      </c>
      <c r="P40" s="251">
        <f t="shared" si="0"/>
        <v>2386.8000000000002</v>
      </c>
      <c r="Q40" s="252" t="s">
        <v>389</v>
      </c>
      <c r="R40" s="260"/>
    </row>
    <row r="41" spans="1:18" hidden="1" x14ac:dyDescent="0.3">
      <c r="A41" s="246" t="s">
        <v>390</v>
      </c>
      <c r="B41" s="246" t="s">
        <v>363</v>
      </c>
      <c r="C41" s="246" t="s">
        <v>95</v>
      </c>
      <c r="D41" s="246"/>
      <c r="E41" s="246"/>
      <c r="F41" s="247">
        <v>639</v>
      </c>
      <c r="G41" s="247">
        <v>71</v>
      </c>
      <c r="H41" s="247">
        <v>365</v>
      </c>
      <c r="I41" s="248">
        <v>1075</v>
      </c>
      <c r="J41" s="249">
        <f>'[1]2019 CBO Data'!G40*'[1]Conversion Factors'!$D$22</f>
        <v>128.52000000000001</v>
      </c>
      <c r="K41" s="249">
        <f>'[1]2019 CBO Data'!H40*'[1]Conversion Factors'!$D$22</f>
        <v>10.199999999999999</v>
      </c>
      <c r="L41" s="249">
        <f>'[1]2019 CBO Data'!I40*'[1]Conversion Factors'!$D$22</f>
        <v>108.12</v>
      </c>
      <c r="M41" s="249">
        <f>'[1]2019 CBO Data'!J40*'[1]Conversion Factors'!$D$22</f>
        <v>246.84</v>
      </c>
      <c r="N41" s="258">
        <f>'[1]Force Cost Analysis'!B80*12</f>
        <v>1912.7178983404804</v>
      </c>
      <c r="O41" s="247">
        <f>ROUNDUP('[1]2019 CBO Data'!K40,0)</f>
        <v>5</v>
      </c>
      <c r="P41" s="251">
        <f t="shared" si="0"/>
        <v>1234.2</v>
      </c>
      <c r="Q41" s="262" t="s">
        <v>391</v>
      </c>
      <c r="R41" s="260"/>
    </row>
    <row r="42" spans="1:18" hidden="1" x14ac:dyDescent="0.3">
      <c r="A42" s="246" t="s">
        <v>392</v>
      </c>
      <c r="B42" s="246" t="s">
        <v>363</v>
      </c>
      <c r="C42" s="246" t="s">
        <v>95</v>
      </c>
      <c r="D42" s="246"/>
      <c r="E42" s="246"/>
      <c r="F42" s="247">
        <v>473</v>
      </c>
      <c r="G42" s="247">
        <v>745</v>
      </c>
      <c r="H42" s="247">
        <v>626</v>
      </c>
      <c r="I42" s="248">
        <v>1844</v>
      </c>
      <c r="J42" s="249">
        <f>'[1]2019 CBO Data'!G41*'[1]Conversion Factors'!$D$22</f>
        <v>79.56</v>
      </c>
      <c r="K42" s="249">
        <f>'[1]2019 CBO Data'!H41*'[1]Conversion Factors'!$D$22</f>
        <v>111.18</v>
      </c>
      <c r="L42" s="249">
        <f>'[1]2019 CBO Data'!I41*'[1]Conversion Factors'!$D$22</f>
        <v>154.02000000000001</v>
      </c>
      <c r="M42" s="249">
        <f>'[1]2019 CBO Data'!J41*'[1]Conversion Factors'!$D$22</f>
        <v>344.76</v>
      </c>
      <c r="N42" s="258">
        <f>'[1]Force Cost Analysis'!B84*12</f>
        <v>1770.7062241347517</v>
      </c>
      <c r="O42" s="247">
        <f>ROUNDUP('[1]2019 CBO Data'!K41,0)</f>
        <v>5</v>
      </c>
      <c r="P42" s="251">
        <f t="shared" si="0"/>
        <v>1723.8</v>
      </c>
      <c r="Q42" s="262" t="s">
        <v>393</v>
      </c>
      <c r="R42" s="260"/>
    </row>
    <row r="43" spans="1:18" hidden="1" x14ac:dyDescent="0.3">
      <c r="A43" s="246" t="s">
        <v>394</v>
      </c>
      <c r="B43" s="246" t="s">
        <v>363</v>
      </c>
      <c r="C43" s="246" t="s">
        <v>95</v>
      </c>
      <c r="D43" s="246"/>
      <c r="E43" s="246"/>
      <c r="F43" s="247">
        <v>341</v>
      </c>
      <c r="G43" s="247">
        <v>269</v>
      </c>
      <c r="H43" s="247">
        <v>313</v>
      </c>
      <c r="I43" s="248">
        <v>923</v>
      </c>
      <c r="J43" s="249">
        <f>'[1]2019 CBO Data'!G42*'[1]Conversion Factors'!$D$22</f>
        <v>56.1</v>
      </c>
      <c r="K43" s="249">
        <f>'[1]2019 CBO Data'!H42*'[1]Conversion Factors'!$D$22</f>
        <v>39.78</v>
      </c>
      <c r="L43" s="249">
        <f>'[1]2019 CBO Data'!I42*'[1]Conversion Factors'!$D$22</f>
        <v>92.820000000000007</v>
      </c>
      <c r="M43" s="249">
        <f>'[1]2019 CBO Data'!J42*'[1]Conversion Factors'!$D$22</f>
        <v>188.70000000000002</v>
      </c>
      <c r="N43" s="258">
        <f>'[1]Force Cost Analysis'!B83*12</f>
        <v>981.06355651763533</v>
      </c>
      <c r="O43" s="247">
        <f>ROUNDUP('[1]2019 CBO Data'!K42,0)</f>
        <v>24</v>
      </c>
      <c r="P43" s="251">
        <f t="shared" si="0"/>
        <v>4528.8</v>
      </c>
      <c r="Q43" s="262" t="s">
        <v>395</v>
      </c>
      <c r="R43" s="253"/>
    </row>
    <row r="44" spans="1:18" ht="28.8" hidden="1" x14ac:dyDescent="0.3">
      <c r="A44" s="246" t="s">
        <v>396</v>
      </c>
      <c r="B44" s="246" t="s">
        <v>363</v>
      </c>
      <c r="C44" s="246" t="s">
        <v>95</v>
      </c>
      <c r="D44" s="246"/>
      <c r="E44" s="246"/>
      <c r="F44" s="247">
        <v>694</v>
      </c>
      <c r="G44" s="247">
        <v>653</v>
      </c>
      <c r="H44" s="247">
        <v>692</v>
      </c>
      <c r="I44" s="248">
        <v>2039</v>
      </c>
      <c r="J44" s="249">
        <f>'[1]2019 CBO Data'!G43*'[1]Conversion Factors'!$D$22</f>
        <v>172.38</v>
      </c>
      <c r="K44" s="249">
        <f>'[1]2019 CBO Data'!H43*'[1]Conversion Factors'!$D$22</f>
        <v>96.9</v>
      </c>
      <c r="L44" s="249">
        <f>'[1]2019 CBO Data'!I43*'[1]Conversion Factors'!$D$22</f>
        <v>200.94</v>
      </c>
      <c r="M44" s="249">
        <f>'[1]2019 CBO Data'!J43*'[1]Conversion Factors'!$D$22</f>
        <v>470.22</v>
      </c>
      <c r="N44" s="258">
        <f>'[1]Force Cost Analysis'!B81</f>
        <v>1855.4223694757211</v>
      </c>
      <c r="O44" s="247">
        <f>ROUNDUP('[1]2019 CBO Data'!K43,0)</f>
        <v>8</v>
      </c>
      <c r="P44" s="251">
        <f t="shared" si="0"/>
        <v>3761.76</v>
      </c>
      <c r="Q44" s="262" t="s">
        <v>397</v>
      </c>
      <c r="R44" s="260" t="s">
        <v>398</v>
      </c>
    </row>
    <row r="45" spans="1:18" ht="72" hidden="1" x14ac:dyDescent="0.3">
      <c r="A45" s="246" t="s">
        <v>399</v>
      </c>
      <c r="B45" s="246" t="s">
        <v>363</v>
      </c>
      <c r="C45" s="246" t="s">
        <v>95</v>
      </c>
      <c r="D45" s="246"/>
      <c r="E45" s="246"/>
      <c r="F45" s="256">
        <f>'[1]2019 CBO Data'!C44/$O$45</f>
        <v>711.5333333333333</v>
      </c>
      <c r="G45" s="256">
        <f>'[1]2019 CBO Data'!D44/$O$45</f>
        <v>0</v>
      </c>
      <c r="H45" s="256">
        <f>'[1]2019 CBO Data'!E44/$O$45</f>
        <v>430.26666666666665</v>
      </c>
      <c r="I45" s="256">
        <f>'[1]2019 CBO Data'!F44/$O$45</f>
        <v>1141.8</v>
      </c>
      <c r="J45" s="256">
        <f>'[1]2019 CBO Data'!G44/$O$45</f>
        <v>39.533333333333331</v>
      </c>
      <c r="K45" s="256">
        <f>'[1]2019 CBO Data'!H44/$O$45</f>
        <v>0</v>
      </c>
      <c r="L45" s="256">
        <f>'[1]2019 CBO Data'!I44/$O$45</f>
        <v>99.2</v>
      </c>
      <c r="M45" s="256">
        <f>'[1]2019 CBO Data'!J44/$O$45</f>
        <v>138.73333333333332</v>
      </c>
      <c r="N45" s="250">
        <f>N6/(G6+F6)*I45*1.5</f>
        <v>47.806596401112301</v>
      </c>
      <c r="O45" s="256">
        <v>15</v>
      </c>
      <c r="P45" s="251">
        <f t="shared" si="0"/>
        <v>2081</v>
      </c>
      <c r="Q45" s="262" t="s">
        <v>400</v>
      </c>
      <c r="R45" s="260" t="s">
        <v>401</v>
      </c>
    </row>
    <row r="46" spans="1:18" ht="43.2" hidden="1" x14ac:dyDescent="0.3">
      <c r="A46" s="254" t="s">
        <v>402</v>
      </c>
      <c r="B46" s="246" t="s">
        <v>363</v>
      </c>
      <c r="C46" s="255" t="s">
        <v>94</v>
      </c>
      <c r="D46" s="255"/>
      <c r="E46" s="255"/>
      <c r="F46" s="256">
        <f>'[1]2019 CBO Data'!C45/$O$46</f>
        <v>1619.1</v>
      </c>
      <c r="G46" s="256">
        <f>'[1]2019 CBO Data'!D45/$O$46</f>
        <v>0</v>
      </c>
      <c r="H46" s="256">
        <f>'[1]2019 CBO Data'!E45/$O$46</f>
        <v>979.1</v>
      </c>
      <c r="I46" s="256">
        <f>'[1]2019 CBO Data'!F45/$O$46</f>
        <v>2598.1999999999998</v>
      </c>
      <c r="J46" s="256">
        <f>'[1]2019 CBO Data'!G45/$O$46</f>
        <v>187.8</v>
      </c>
      <c r="K46" s="256">
        <f>'[1]2019 CBO Data'!H45/$O$46</f>
        <v>0</v>
      </c>
      <c r="L46" s="256">
        <f>'[1]2019 CBO Data'!I45/$O$46</f>
        <v>225.7</v>
      </c>
      <c r="M46" s="256">
        <f>'[1]2019 CBO Data'!J45/$O$46</f>
        <v>413.5</v>
      </c>
      <c r="N46" s="258">
        <f>'[1]Force Cost Analysis'!B45</f>
        <v>10629.388659269636</v>
      </c>
      <c r="O46" s="256">
        <v>10</v>
      </c>
      <c r="P46" s="251">
        <f t="shared" si="0"/>
        <v>4135</v>
      </c>
      <c r="Q46" s="262" t="s">
        <v>403</v>
      </c>
      <c r="R46" s="266" t="s">
        <v>404</v>
      </c>
    </row>
    <row r="47" spans="1:18" hidden="1" x14ac:dyDescent="0.3">
      <c r="A47" s="267" t="s">
        <v>405</v>
      </c>
      <c r="B47" s="255" t="s">
        <v>363</v>
      </c>
      <c r="C47" s="255" t="s">
        <v>95</v>
      </c>
      <c r="D47" s="255"/>
      <c r="E47" s="255"/>
      <c r="F47">
        <f>'[1]Force Cost Analysis'!$B$93</f>
        <v>49</v>
      </c>
      <c r="G47">
        <v>0</v>
      </c>
      <c r="H47">
        <f>ROUNDUP(F47*'[1]Force Cost Analysis'!$B$107,0)</f>
        <v>28</v>
      </c>
      <c r="I47">
        <f>SUM(F47:H47)</f>
        <v>77</v>
      </c>
      <c r="J47" s="249">
        <f>('[1]Force Cost Analysis'!$B$95*'[1]Force Cost Analysis'!$B$98)/1000000</f>
        <v>11.278195488721805</v>
      </c>
      <c r="K47">
        <v>0</v>
      </c>
      <c r="L47" s="249">
        <f>('[1]Force Cost Analysis'!$B$95*(1-'[1]Force Cost Analysis'!$B$98))/1000000</f>
        <v>3.7593984962406015</v>
      </c>
      <c r="M47" s="268">
        <f>SUM(J47:L47)</f>
        <v>15.037593984962406</v>
      </c>
      <c r="N47" s="250">
        <f>'[1]Force Cost Analysis'!$B$100/1000000</f>
        <v>4.511278195488722</v>
      </c>
      <c r="O47">
        <v>39</v>
      </c>
      <c r="P47" s="269">
        <f>M47*O47</f>
        <v>586.46616541353387</v>
      </c>
      <c r="Q47" s="263" t="s">
        <v>406</v>
      </c>
      <c r="R47" s="263" t="s">
        <v>407</v>
      </c>
    </row>
    <row r="48" spans="1:18" x14ac:dyDescent="0.3">
      <c r="A48" s="267" t="s">
        <v>405</v>
      </c>
      <c r="B48" s="255" t="s">
        <v>298</v>
      </c>
      <c r="C48" s="255" t="s">
        <v>95</v>
      </c>
      <c r="D48" s="246">
        <f>M48/F48</f>
        <v>0.3068896731624981</v>
      </c>
      <c r="E48" s="246">
        <f>M48/I48</f>
        <v>0.19529342837613514</v>
      </c>
      <c r="F48">
        <f>'[1]Force Cost Analysis'!$B$93</f>
        <v>49</v>
      </c>
      <c r="G48">
        <v>0</v>
      </c>
      <c r="H48">
        <f>ROUNDUP(F48*'[1]Force Cost Analysis'!$B$107,0)</f>
        <v>28</v>
      </c>
      <c r="I48">
        <f>SUM(F48:H48)</f>
        <v>77</v>
      </c>
      <c r="J48" s="249">
        <f>('[1]Force Cost Analysis'!$B$95*'[1]Force Cost Analysis'!$B$98)/1000000</f>
        <v>11.278195488721805</v>
      </c>
      <c r="K48">
        <v>0</v>
      </c>
      <c r="L48" s="249">
        <f>('[1]Force Cost Analysis'!$B$95*(1-'[1]Force Cost Analysis'!$B$98))/1000000</f>
        <v>3.7593984962406015</v>
      </c>
      <c r="M48" s="268">
        <f>SUM(J48:L48)</f>
        <v>15.037593984962406</v>
      </c>
      <c r="N48" s="250">
        <f>'[1]Force Cost Analysis'!$B$100/1000000</f>
        <v>4.511278195488722</v>
      </c>
      <c r="O48">
        <v>41</v>
      </c>
      <c r="P48" s="269">
        <f t="shared" ref="P48:P50" si="3">M48*O48</f>
        <v>616.54135338345861</v>
      </c>
      <c r="Q48" s="263" t="s">
        <v>408</v>
      </c>
      <c r="R48" s="263" t="s">
        <v>407</v>
      </c>
    </row>
    <row r="49" spans="1:18" hidden="1" x14ac:dyDescent="0.3">
      <c r="A49" s="267" t="s">
        <v>405</v>
      </c>
      <c r="B49" s="255" t="s">
        <v>315</v>
      </c>
      <c r="C49" s="255" t="s">
        <v>95</v>
      </c>
      <c r="D49" s="255"/>
      <c r="E49" s="255"/>
      <c r="F49">
        <f>'[1]Force Cost Analysis'!$B$93</f>
        <v>49</v>
      </c>
      <c r="G49">
        <v>0</v>
      </c>
      <c r="H49">
        <f>ROUNDUP(F49*'[1]Force Cost Analysis'!$B$107,0)</f>
        <v>28</v>
      </c>
      <c r="I49">
        <f>SUM(F49:H49)</f>
        <v>77</v>
      </c>
      <c r="J49" s="249">
        <f>('[1]Force Cost Analysis'!$B$95*'[1]Force Cost Analysis'!$B$98)/1000000</f>
        <v>11.278195488721805</v>
      </c>
      <c r="K49">
        <v>0</v>
      </c>
      <c r="L49" s="249">
        <f>('[1]Force Cost Analysis'!$B$95*(1-'[1]Force Cost Analysis'!$B$98))/1000000</f>
        <v>3.7593984962406015</v>
      </c>
      <c r="M49" s="268">
        <f>SUM(J49:L49)</f>
        <v>15.037593984962406</v>
      </c>
      <c r="N49" s="250">
        <f>'[1]Force Cost Analysis'!$B$100/1000000</f>
        <v>4.511278195488722</v>
      </c>
      <c r="O49">
        <v>40</v>
      </c>
      <c r="P49" s="269">
        <f t="shared" si="3"/>
        <v>601.50375939849619</v>
      </c>
      <c r="Q49" s="263" t="s">
        <v>408</v>
      </c>
      <c r="R49" s="263" t="s">
        <v>407</v>
      </c>
    </row>
    <row r="50" spans="1:18" hidden="1" x14ac:dyDescent="0.3">
      <c r="A50" s="267" t="s">
        <v>405</v>
      </c>
      <c r="B50" s="255" t="s">
        <v>338</v>
      </c>
      <c r="C50" s="255" t="s">
        <v>95</v>
      </c>
      <c r="D50" s="255"/>
      <c r="E50" s="255"/>
      <c r="F50">
        <f>'[1]Force Cost Analysis'!$B$93</f>
        <v>49</v>
      </c>
      <c r="G50">
        <v>0</v>
      </c>
      <c r="H50">
        <f>ROUNDUP(F50*'[1]Force Cost Analysis'!$B$107,0)</f>
        <v>28</v>
      </c>
      <c r="I50">
        <f>SUM(F50:H50)</f>
        <v>77</v>
      </c>
      <c r="J50" s="249">
        <f>('[1]Force Cost Analysis'!$B$95*'[1]Force Cost Analysis'!$B$98)/1000000</f>
        <v>11.278195488721805</v>
      </c>
      <c r="K50">
        <v>0</v>
      </c>
      <c r="L50" s="249">
        <f>('[1]Force Cost Analysis'!$B$95*(1-'[1]Force Cost Analysis'!$B$98))/1000000</f>
        <v>3.7593984962406015</v>
      </c>
      <c r="M50" s="268">
        <f>SUM(J50:L50)</f>
        <v>15.037593984962406</v>
      </c>
      <c r="N50" s="250">
        <f>'[1]Force Cost Analysis'!$B$100/1000000</f>
        <v>4.511278195488722</v>
      </c>
      <c r="O50">
        <v>13</v>
      </c>
      <c r="P50" s="269">
        <f t="shared" si="3"/>
        <v>195.48872180451127</v>
      </c>
      <c r="Q50" s="263" t="s">
        <v>408</v>
      </c>
      <c r="R50" s="263" t="s">
        <v>407</v>
      </c>
    </row>
    <row r="54" spans="1:18" x14ac:dyDescent="0.3">
      <c r="D54" t="s">
        <v>409</v>
      </c>
      <c r="E54">
        <f>AVERAGE(E2,E4,E6,E8)</f>
        <v>0.17361271735622774</v>
      </c>
    </row>
    <row r="55" spans="1:18" x14ac:dyDescent="0.3">
      <c r="D55" t="s">
        <v>410</v>
      </c>
      <c r="E55">
        <f>AVERAGE(E3,E5,E7,E9)</f>
        <v>6.282114650949322E-2</v>
      </c>
    </row>
    <row r="57" spans="1:18" x14ac:dyDescent="0.3">
      <c r="D57" t="s">
        <v>411</v>
      </c>
      <c r="E57" t="s">
        <v>412</v>
      </c>
      <c r="F57" t="s">
        <v>413</v>
      </c>
    </row>
    <row r="58" spans="1:18" x14ac:dyDescent="0.3">
      <c r="D58" t="s">
        <v>7</v>
      </c>
      <c r="E58">
        <f>M3/M2</f>
        <v>0.30492154065620541</v>
      </c>
      <c r="F58">
        <f>1-E58</f>
        <v>0.69507845934379464</v>
      </c>
    </row>
    <row r="59" spans="1:18" x14ac:dyDescent="0.3">
      <c r="D59" t="s">
        <v>9</v>
      </c>
      <c r="E59">
        <f>M5/M4</f>
        <v>0.28934010152284267</v>
      </c>
      <c r="F59">
        <f t="shared" ref="F59:F61" si="4">1-E59</f>
        <v>0.71065989847715727</v>
      </c>
    </row>
    <row r="60" spans="1:18" x14ac:dyDescent="0.3">
      <c r="D60" t="s">
        <v>8</v>
      </c>
      <c r="E60">
        <f>M7/M6</f>
        <v>0.27877428998505233</v>
      </c>
      <c r="F60">
        <f t="shared" si="4"/>
        <v>0.72122571001494773</v>
      </c>
    </row>
    <row r="61" spans="1:18" x14ac:dyDescent="0.3">
      <c r="D61" t="s">
        <v>10</v>
      </c>
      <c r="E61">
        <f>M9/M8</f>
        <v>0.2371871275327771</v>
      </c>
      <c r="F61">
        <f t="shared" si="4"/>
        <v>0.76281287246722296</v>
      </c>
    </row>
    <row r="62" spans="1:18" x14ac:dyDescent="0.3">
      <c r="E62" t="s">
        <v>414</v>
      </c>
      <c r="F62">
        <f>AVERAGE(F58:F61)</f>
        <v>0.72244423507578071</v>
      </c>
    </row>
    <row r="66" spans="4:6" x14ac:dyDescent="0.3">
      <c r="E66" t="s">
        <v>415</v>
      </c>
      <c r="F66" t="s">
        <v>416</v>
      </c>
    </row>
    <row r="67" spans="4:6" x14ac:dyDescent="0.3">
      <c r="D67" t="s">
        <v>7</v>
      </c>
      <c r="E67">
        <f>E2</f>
        <v>0.16386387074596082</v>
      </c>
    </row>
    <row r="68" spans="4:6" x14ac:dyDescent="0.3">
      <c r="D68" t="s">
        <v>9</v>
      </c>
      <c r="E68">
        <f>E4</f>
        <v>0.1637366858739305</v>
      </c>
    </row>
    <row r="69" spans="4:6" x14ac:dyDescent="0.3">
      <c r="D69" t="s">
        <v>8</v>
      </c>
      <c r="E69">
        <f>E6</f>
        <v>0.16797046153846154</v>
      </c>
    </row>
    <row r="70" spans="4:6" x14ac:dyDescent="0.3">
      <c r="D70" t="s">
        <v>10</v>
      </c>
      <c r="E70">
        <f>E8</f>
        <v>0.19887985126655822</v>
      </c>
    </row>
  </sheetData>
  <autoFilter ref="A1:R50">
    <filterColumn colId="1">
      <filters>
        <filter val="Army"/>
      </filters>
    </filterColumn>
  </autoFilter>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K12"/>
  <sheetViews>
    <sheetView workbookViewId="0">
      <selection activeCell="E11" sqref="E11"/>
    </sheetView>
  </sheetViews>
  <sheetFormatPr defaultRowHeight="14.4" x14ac:dyDescent="0.3"/>
  <cols>
    <col min="5" max="5" width="13.5546875" bestFit="1" customWidth="1"/>
    <col min="6" max="6" width="17.5546875" bestFit="1" customWidth="1"/>
    <col min="7" max="9" width="10" customWidth="1"/>
    <col min="11" max="11" width="12" bestFit="1" customWidth="1"/>
    <col min="12" max="12" width="12.6640625" bestFit="1" customWidth="1"/>
  </cols>
  <sheetData>
    <row r="1" spans="2:11" ht="14.25" customHeight="1" x14ac:dyDescent="0.3">
      <c r="D1" t="s">
        <v>169</v>
      </c>
      <c r="E1" t="s">
        <v>167</v>
      </c>
      <c r="F1" t="s">
        <v>168</v>
      </c>
      <c r="H1" t="s">
        <v>154</v>
      </c>
      <c r="I1" t="s">
        <v>166</v>
      </c>
      <c r="J1" t="s">
        <v>165</v>
      </c>
      <c r="K1" t="s">
        <v>164</v>
      </c>
    </row>
    <row r="2" spans="2:11" x14ac:dyDescent="0.3">
      <c r="C2" s="16">
        <v>0.4</v>
      </c>
      <c r="D2" s="113" t="s">
        <v>156</v>
      </c>
      <c r="E2">
        <f>SUM(I2:I5)+I10</f>
        <v>0.3611111111111111</v>
      </c>
      <c r="F2">
        <f>E2</f>
        <v>0.3611111111111111</v>
      </c>
      <c r="H2">
        <v>2</v>
      </c>
      <c r="I2">
        <f>1/36</f>
        <v>2.7777777777777776E-2</v>
      </c>
      <c r="J2">
        <v>1</v>
      </c>
      <c r="K2">
        <f t="shared" ref="K2:K9" si="0">K3-I3</f>
        <v>2.7777777777777748E-2</v>
      </c>
    </row>
    <row r="3" spans="2:11" x14ac:dyDescent="0.3">
      <c r="C3" s="16">
        <v>0.2</v>
      </c>
      <c r="D3" s="113" t="s">
        <v>155</v>
      </c>
      <c r="E3">
        <f>I7+I12</f>
        <v>0.19444444444444442</v>
      </c>
      <c r="F3">
        <f>F2+E3</f>
        <v>0.55555555555555558</v>
      </c>
      <c r="H3">
        <v>3</v>
      </c>
      <c r="I3">
        <f>2/36</f>
        <v>5.5555555555555552E-2</v>
      </c>
      <c r="J3">
        <f>1-I2</f>
        <v>0.97222222222222221</v>
      </c>
      <c r="K3">
        <f t="shared" si="0"/>
        <v>8.3333333333333301E-2</v>
      </c>
    </row>
    <row r="4" spans="2:11" x14ac:dyDescent="0.3">
      <c r="C4" s="16">
        <v>0.15</v>
      </c>
      <c r="D4" s="33">
        <v>6</v>
      </c>
      <c r="E4">
        <f>I8</f>
        <v>0.1388888888888889</v>
      </c>
      <c r="F4">
        <f t="shared" ref="F4:F7" si="1">F3+E4</f>
        <v>0.69444444444444442</v>
      </c>
      <c r="H4">
        <v>4</v>
      </c>
      <c r="I4">
        <f>3/36</f>
        <v>8.3333333333333329E-2</v>
      </c>
      <c r="J4">
        <f>J3-I3</f>
        <v>0.91666666666666663</v>
      </c>
      <c r="K4">
        <f t="shared" si="0"/>
        <v>0.16666666666666663</v>
      </c>
    </row>
    <row r="5" spans="2:11" x14ac:dyDescent="0.3">
      <c r="C5" s="16">
        <v>0.1</v>
      </c>
      <c r="D5" s="33">
        <v>8</v>
      </c>
      <c r="E5">
        <f>I8</f>
        <v>0.1388888888888889</v>
      </c>
      <c r="F5">
        <f t="shared" si="1"/>
        <v>0.83333333333333326</v>
      </c>
      <c r="H5">
        <v>5</v>
      </c>
      <c r="I5">
        <f>4/36</f>
        <v>0.1111111111111111</v>
      </c>
      <c r="J5">
        <f t="shared" ref="J5:J12" si="2">J4-I4</f>
        <v>0.83333333333333326</v>
      </c>
      <c r="K5">
        <f t="shared" si="0"/>
        <v>0.27777777777777773</v>
      </c>
    </row>
    <row r="6" spans="2:11" x14ac:dyDescent="0.3">
      <c r="C6" s="16">
        <v>0.1</v>
      </c>
      <c r="D6" s="33">
        <v>9</v>
      </c>
      <c r="E6">
        <f>I9</f>
        <v>0.1111111111111111</v>
      </c>
      <c r="F6">
        <f t="shared" si="1"/>
        <v>0.94444444444444442</v>
      </c>
      <c r="H6">
        <v>6</v>
      </c>
      <c r="I6">
        <f>5/36</f>
        <v>0.1388888888888889</v>
      </c>
      <c r="J6">
        <f t="shared" si="2"/>
        <v>0.7222222222222221</v>
      </c>
      <c r="K6">
        <f t="shared" si="0"/>
        <v>0.41666666666666663</v>
      </c>
    </row>
    <row r="7" spans="2:11" x14ac:dyDescent="0.3">
      <c r="C7" s="16">
        <v>0.05</v>
      </c>
      <c r="D7" s="114">
        <v>11</v>
      </c>
      <c r="E7">
        <f>I11</f>
        <v>5.5555555555555552E-2</v>
      </c>
      <c r="F7">
        <f t="shared" si="1"/>
        <v>1</v>
      </c>
      <c r="H7">
        <v>7</v>
      </c>
      <c r="I7">
        <f>6/36</f>
        <v>0.16666666666666666</v>
      </c>
      <c r="J7">
        <f t="shared" si="2"/>
        <v>0.58333333333333326</v>
      </c>
      <c r="K7">
        <f t="shared" si="0"/>
        <v>0.58333333333333326</v>
      </c>
    </row>
    <row r="8" spans="2:11" x14ac:dyDescent="0.3">
      <c r="B8" t="s">
        <v>55</v>
      </c>
      <c r="C8">
        <f>SUM(C2:C7)</f>
        <v>1</v>
      </c>
      <c r="H8">
        <v>8</v>
      </c>
      <c r="I8">
        <f>5/36</f>
        <v>0.1388888888888889</v>
      </c>
      <c r="J8">
        <f t="shared" si="2"/>
        <v>0.41666666666666663</v>
      </c>
      <c r="K8">
        <f t="shared" si="0"/>
        <v>0.7222222222222221</v>
      </c>
    </row>
    <row r="9" spans="2:11" x14ac:dyDescent="0.3">
      <c r="H9">
        <v>9</v>
      </c>
      <c r="I9">
        <f>4/36</f>
        <v>0.1111111111111111</v>
      </c>
      <c r="J9">
        <f t="shared" si="2"/>
        <v>0.27777777777777773</v>
      </c>
      <c r="K9">
        <f t="shared" si="0"/>
        <v>0.83333333333333326</v>
      </c>
    </row>
    <row r="10" spans="2:11" x14ac:dyDescent="0.3">
      <c r="H10">
        <v>10</v>
      </c>
      <c r="I10">
        <f>3/36</f>
        <v>8.3333333333333329E-2</v>
      </c>
      <c r="J10">
        <f t="shared" si="2"/>
        <v>0.16666666666666663</v>
      </c>
      <c r="K10">
        <f>K11-I11</f>
        <v>0.91666666666666663</v>
      </c>
    </row>
    <row r="11" spans="2:11" x14ac:dyDescent="0.3">
      <c r="H11">
        <v>11</v>
      </c>
      <c r="I11">
        <f>2/36</f>
        <v>5.5555555555555552E-2</v>
      </c>
      <c r="J11">
        <f t="shared" si="2"/>
        <v>8.3333333333333301E-2</v>
      </c>
      <c r="K11">
        <f>1-I12</f>
        <v>0.97222222222222221</v>
      </c>
    </row>
    <row r="12" spans="2:11" x14ac:dyDescent="0.3">
      <c r="H12">
        <v>12</v>
      </c>
      <c r="I12">
        <f>1/36</f>
        <v>2.7777777777777776E-2</v>
      </c>
      <c r="J12">
        <f t="shared" si="2"/>
        <v>2.7777777777777748E-2</v>
      </c>
      <c r="K12">
        <v>1</v>
      </c>
    </row>
  </sheetData>
  <sortState ref="H2:I12">
    <sortCondition ref="H2:H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Wargame Calculator</vt:lpstr>
      <vt:lpstr>Readiness Events</vt:lpstr>
      <vt:lpstr>Meet Priority Force Reqt</vt:lpstr>
      <vt:lpstr>1d6 Rolls</vt:lpstr>
      <vt:lpstr>Lists_Parameters</vt:lpstr>
      <vt:lpstr>Crisis Scenario Data</vt:lpstr>
      <vt:lpstr>Tables for Printing</vt:lpstr>
      <vt:lpstr>For BTF</vt:lpstr>
      <vt:lpstr>Crisis Probability Calc</vt:lpstr>
      <vt:lpstr>No</vt:lpstr>
      <vt:lpstr>Num_RD_Retries</vt:lpstr>
      <vt:lpstr>Round_1</vt:lpstr>
      <vt:lpstr>Round_1_2</vt:lpstr>
      <vt:lpstr>Round_1_3</vt:lpstr>
      <vt:lpstr>Scenario_Names</vt:lpstr>
      <vt:lpstr>Select_Expedite</vt:lpstr>
      <vt:lpstr>Select_Risk_Level</vt:lpstr>
      <vt:lpstr>Select_Tech_Level</vt:lpstr>
      <vt:lpstr>'For BTF'!T_ForceStructure</vt:lpstr>
      <vt:lpstr>Target_Tech_Level</vt:lpstr>
      <vt:lpstr>Tech_Level</vt:lpstr>
      <vt:lpstr>VP_Conditions</vt:lpstr>
      <vt:lpstr>Yes</vt:lpstr>
      <vt:lpstr>Yes_No</vt:lpstr>
    </vt:vector>
  </TitlesOfParts>
  <Company>United States Army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 Mark</dc:creator>
  <cp:lastModifiedBy>Wechsler, Matthew CIV USARMY AWC</cp:lastModifiedBy>
  <cp:lastPrinted>2020-08-24T12:35:55Z</cp:lastPrinted>
  <dcterms:created xsi:type="dcterms:W3CDTF">2018-05-14T17:20:03Z</dcterms:created>
  <dcterms:modified xsi:type="dcterms:W3CDTF">2021-11-02T23:14:22Z</dcterms:modified>
</cp:coreProperties>
</file>