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comments3.xml" ContentType="application/vnd.openxmlformats-officedocument.spreadsheetml.comments+xml"/>
  <Override PartName="/xl/worksheets/sheet11.xml" ContentType="application/vnd.openxmlformats-officedocument.spreadsheetml.worksheet+xml"/>
  <Override PartName="/xl/comments4.xml" ContentType="application/vnd.openxmlformats-officedocument.spreadsheetml.comment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nl"/>
  <workbookPr date1904="1"/>
  <bookViews>
    <workbookView activeTab="2" xWindow="240" yWindow="60" windowWidth="30195" windowHeight="19545" tabRatio="772"/>
  </bookViews>
  <sheets>
    <sheet name="CB_DATA_" sheetId="1" state="hidden" r:id="rId4"/>
    <sheet name="Input sheet" sheetId="2" r:id="rId5"/>
    <sheet name="Valuation output" sheetId="3" r:id="rId6"/>
    <sheet name="Stories to Numbers" sheetId="4" r:id="rId7"/>
    <sheet name="Summary Sheet" sheetId="5" r:id="rId8"/>
    <sheet name="Option value" sheetId="6" r:id="rId9"/>
    <sheet name="Diagnostics" sheetId="7" r:id="rId10"/>
    <sheet name="R&amp; D converter" sheetId="8" r:id="rId11"/>
    <sheet name="Operating lease converter" sheetId="9" r:id="rId12"/>
    <sheet name="Cost of capital worksheet" sheetId="10" r:id="rId13"/>
    <sheet name="Synthetic rating" sheetId="11" r:id="rId14"/>
    <sheet name="Industry Averages(US)" sheetId="12" r:id="rId15"/>
    <sheet name="Global industry averages" sheetId="13" r:id="rId16"/>
    <sheet name="Country equity risk premiums" sheetId="14" r:id="rId17"/>
    <sheet name="Trailing 12 month" sheetId="15" r:id="rId18"/>
    <sheet name="Answer keys" sheetId="16" r:id="rId19"/>
  </sheets>
  <calcPr iterate="1"/>
  <extLst>
    <ext uri="smNativeData">
      <pm:revision xmlns:pm="smNativeData" day="1696577006" val="1064" rev="124" rev64="64" revOS="3" revMin="124" revMax="0"/>
      <pm:docPrefs xmlns:pm="smNativeData" id="1696577006" fixedDigits="0" showNotice="1" showFrameBounds="1" autoChart="1" recalcOnPrint="1" recalcOnCopy="1" finalRounding="1" compatTextArt="1" tab="567" useDefinedPrintRange="1" printArea="currentSheet"/>
      <pm:compatibility xmlns:pm="smNativeData" id="1696577006" overlapCells="1"/>
      <pm:defCurrency xmlns:pm="smNativeData" id="1696577006"/>
    </ext>
  </extLst>
</workbook>
</file>

<file path=xl/comments1.xml><?xml version="1.0" encoding="utf-8"?>
<comments xmlns="http://schemas.openxmlformats.org/spreadsheetml/2006/main">
  <authors>
    <author>Unknown</author>
  </authors>
  <commentList>
    <comment ref="B8"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revenues from the most recent period (you can either use annual or the trailing 12 months). If your company had no revenues, enter a very small positive number. (You need a base for your growth rate)</t>
        </r>
      </text>
    </comment>
    <comment ref="B9"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operating income or EBIT from the most recent time period, even if that number is negative. If you have operating leases or R&amp;D and want to adjust for them, use the options below to start the process and enter the numbers in the relevan t worksheets.</t>
        </r>
      </text>
    </comment>
    <comment ref="B11"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B12"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 xml:space="preserve">Enter the book value of interest bearing debt (short and long term) at your company from the most recent balance sheet. (Do not include accounts payable, supplier credit or other non-interest bearing liabilities.) </t>
        </r>
      </text>
    </comment>
    <comment ref="B15"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cash balance from the most recent balance sheet. This should include marketable securities.</t>
        </r>
      </text>
    </comment>
    <comment ref="B18"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most recent update you have on the number of shares. If you have different classes of shares, aggregate them all and enter one number. Count restricted stock units (RSUs) as shares but don't count shares underlying employee options.</t>
        </r>
      </text>
    </comment>
    <comment ref="B19"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 xml:space="preserve">Enter the most recent stock price (how about today's?) in here. </t>
        </r>
      </text>
    </comment>
    <comment ref="B20"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enter zero.
If you have a money losing company, don't enter zero but enter the tax rate that you will have when you start making money.</t>
        </r>
      </text>
    </comment>
    <comment ref="B23"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r>
      </text>
    </comment>
    <comment ref="B24"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 xml:space="preserve">You should start by looking at your company's current pre-tax operating margin  but also look at the average for your industry. (You can check my estimates of industry averages in the last worksheet on this spreadsheet.) </t>
        </r>
      </text>
    </comment>
    <comment ref="B26"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t>
        </r>
      </text>
    </comment>
    <comment ref="B28"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This should be today's long term riskfree rate. If you are working with a currency where the government has default risk, clean up the government bond rate to make it riskfree (by subtracting the default spread for the government).</t>
        </r>
      </text>
    </comment>
    <comment ref="B29"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current cost of capital for your firm. If you don't know what it is, you can use the worksheet to compute it.</t>
        </r>
      </text>
    </comment>
    <comment ref="B32"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Check your company's annual report or 10K. If it does have options outstanding, enter the total number here (vested and non vested, in the money and out…)</t>
        </r>
      </text>
    </comment>
    <comment ref="B33"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weighted average strike price of your options. (Should be in your 10K or annual report.)</t>
        </r>
      </text>
    </comment>
    <comment ref="B34"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The weighted average maturity of your options should be reported in your financial statements.</t>
        </r>
      </text>
    </comment>
    <comment ref="B35"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If you have a standard deviation for your stock, enter that number. If not, use the industry average standard deviation from the worksheet.</t>
        </r>
      </text>
    </comment>
    <comment ref="B39"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Mature companies tend to have costs of capital closer to the market average. While the riskfree rate + 4.5% is a close approximation of the average, you can use a slightly higher number (riskfree rate + 6%) for mature companies in riskier businesses and a slightly lower number (risfree rate + 4%) for safer companies.</t>
        </r>
      </text>
    </comment>
    <comment ref="B42"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The default assumption is that competitive advantages will fade to zero over time. While this is a good assumption for many firms (about 7 in 10), there are some firms with sustainable competitive advantages (brand name, for instance), where the excess returns may continue beyond year 10. If your firm is one of those, you can enter a return on capital higher than your cost of capital in the cell below. Just don't get carried away. At the maximum, the excess return should not exceed 5% for a mature firm.</t>
        </r>
      </text>
    </comment>
    <comment ref="B43"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 xml:space="preserve">Even if you believe your firm has significant competitive advantages, don't set this number to more than 5% more than your cost of capital. </t>
        </r>
      </text>
    </comment>
    <comment ref="B45"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Companies at either end of the life cycle - young, growth and old, declining firms have a significant likelihood of failure. While we tend to ignore this in conventional DCF, it is worth thinking about whether you want to estimate a probability of failure. It is not easy to do but it can be done by looking at either history (with young, growth companies) or the debt market (with distressed companies).</t>
        </r>
      </text>
    </comment>
    <comment ref="B46"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If you want to look at ways of estimating this probability, try these papers I have on the topic:
For young growth companies: http://papers.ssrn.com/sol3/papers.cfm?abstract_id=1418687  
For declining, distressed companies: http://papers.ssrn.com/sol3/papers.cfm?abstract_id=1428022 </t>
        </r>
      </text>
    </comment>
    <comment ref="B47"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If the firm fail and has to liquidate its assets, you need to specify what the liquidation proceeds will be tied to. For young growth companies, I would tie it to value and with distressed firms (especially ones with significant assets in place), I would use book value.</t>
        </r>
      </text>
    </comment>
    <comment ref="B48"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You will generally not get 100% of fair value. How much less than 100% you get will depend on whether there are lots of potential buyers for your assets and how much of a hurry you are in to liquidate. It may well be zero for a young growth company with no tangible assets.</t>
        </r>
      </text>
    </comment>
    <comment ref="B50"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Companies generally pay less than the marginal tax rate on their income. Some of that is due to tax deferral and others to quirks in the tax law. Over time, the conservative assumption is to require the tax rate to move towards the marginal tax rate. However, if you believe that your firm's tax benefits are permanent, you can override this assumption.</t>
        </r>
      </text>
    </comment>
    <comment ref="B52"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If your company has been losing money for a while, there will be accumulated losses from prior periods. Check your financial statements.</t>
        </r>
      </text>
    </comment>
    <comment ref="B53"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This is the NOL from prior years carried forward into this year.</t>
        </r>
      </text>
    </comment>
    <comment ref="B21"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This is a statutory tax rate. I use the tax rate of the country the company is domiciled in. See worksheet embedded in this spreadshseet for country tax rates.</t>
        </r>
      </text>
    </comment>
    <comment ref="C4"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If you are using trailing 12-month data, it is best if the last year is the 12-month period just prior to the one that you are using. Thus, if you are looking at June 2011-June 2012, your trailing 12 month for the income statement numbers will be June 2010-June 2011 and your balance sheet numbers should be as of June 2011.</t>
        </r>
      </text>
    </comment>
    <comment ref="B16"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market value of those non-cash assets whose earnings are (and will never) show up as part of operating income. The most common non-operating assets are minority holdings in other companies (which are not consoldiated). You can find the book value of these holdings on the balance sheet, but see if you can convert to market value. (I apply a price to book ratio, based on the sector that the company is in to the book value).</t>
        </r>
      </text>
    </comment>
    <comment ref="B17"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"market" value of minority interests.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r>
      </text>
    </comment>
    <comment ref="B6"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If you are in multiple businesses, you can construct your own weighted averages using the industry average table from this spreadsheet and your company's business breakdown.</t>
        </r>
      </text>
    </comment>
    <comment ref="D7" authorId="0">
      <text>
        <r>
          <rPr>
            <rFont val="Calibri"/>
            <charset val="0"/>
            <family val="2"/>
            <sz val="10"/>
            <b/>
            <i val="0"/>
            <extLst>
              <ext uri="smNativeData">
                <pm:charSpec xmlns:pm="smNativeData" id="1696577006">
                  <pm:latin face="Calibri" sz="200" weight="bold" i="0"/>
                  <pm:cs face="Calibri" sz="200" weight="bold"/>
                  <pm:ea face="Calibri" sz="200" weight="bold"/>
                </pm:charSpec>
              </ext>
            </extLst>
          </rPr>
          <t>Aswath Damodaran:</t>
        </r>
        <r>
          <rPr>
            <rFont val="Calibri"/>
            <charset val="0"/>
            <family val="2"/>
            <sz val="10"/>
            <b val="0"/>
            <i val="0"/>
            <extLst>
              <ext uri="smNativeData">
                <pm:charSpec xmlns:pm="smNativeData" id="1696577006">
                  <pm:latin face="Calibri" sz="200" weight="normal" i="0"/>
                  <pm:cs face="Calibri" sz="200"/>
                  <pm:ea face="Calibri" sz="200"/>
                </pm:charSpec>
              </ext>
            </extLst>
          </rPr>
          <t xml:space="preserve">
If you have trailing 12 month numbers, the last year's numbers may be only 3 months, 6 months or 9 months ago.</t>
        </r>
      </text>
    </comment>
    <comment ref="J30" authorId="0">
      <text>
        <r>
          <rPr>
            <rFont val="Calibri"/>
            <charset val="0"/>
            <family val="2"/>
            <sz val="10"/>
            <b/>
            <i val="0"/>
            <extLst>
              <ext uri="smNativeData">
                <pm:charSpec xmlns:pm="smNativeData" id="1696577006">
                  <pm:latin face="Calibri" sz="200" weight="bold" i="0"/>
                  <pm:cs face="Calibri" sz="200" weight="bold"/>
                  <pm:ea face="Calibri" sz="200" weight="bold"/>
                </pm:charSpec>
              </ext>
            </extLst>
          </rPr>
          <t>Aswath Damodaran:</t>
        </r>
        <r>
          <rPr>
            <rFont val="Calibri"/>
            <charset val="0"/>
            <family val="2"/>
            <sz val="10"/>
            <b val="0"/>
            <i val="0"/>
            <extLst>
              <ext uri="smNativeData">
                <pm:charSpec xmlns:pm="smNativeData" id="1696577006">
                  <pm:latin face="Calibri" sz="200" weight="normal" i="0"/>
                  <pm:cs face="Calibri" sz="200"/>
                  <pm:ea face="Calibri" sz="200"/>
                </pm:charSpec>
              </ext>
            </extLst>
          </rPr>
          <t xml:space="preserve">
Compare to your total market and check your market share.</t>
        </r>
      </text>
    </comment>
    <comment ref="J31" authorId="0">
      <text>
        <r>
          <rPr>
            <rFont val="Calibri"/>
            <charset val="0"/>
            <family val="2"/>
            <sz val="10"/>
            <b/>
            <i val="0"/>
            <extLst>
              <ext uri="smNativeData">
                <pm:charSpec xmlns:pm="smNativeData" id="1696577006">
                  <pm:latin face="Calibri" sz="200" weight="bold" i="0"/>
                  <pm:cs face="Calibri" sz="200" weight="bold"/>
                  <pm:ea face="Calibri" sz="200" weight="bold"/>
                </pm:charSpec>
              </ext>
            </extLst>
          </rPr>
          <t>Aswath Damodaran:</t>
        </r>
        <r>
          <rPr>
            <rFont val="Calibri"/>
            <charset val="0"/>
            <family val="2"/>
            <sz val="10"/>
            <b val="0"/>
            <i val="0"/>
            <extLst>
              <ext uri="smNativeData">
                <pm:charSpec xmlns:pm="smNativeData" id="1696577006">
                  <pm:latin face="Calibri" sz="200" weight="normal" i="0"/>
                  <pm:cs face="Calibri" sz="200"/>
                  <pm:ea face="Calibri" sz="200"/>
                </pm:charSpec>
              </ext>
            </extLst>
          </rPr>
          <t xml:space="preserve">
Determined by your target margin. </t>
        </r>
      </text>
    </comment>
    <comment ref="J32" authorId="0">
      <text>
        <r>
          <rPr>
            <rFont val="Calibri"/>
            <charset val="0"/>
            <family val="2"/>
            <sz val="10"/>
            <b/>
            <i val="0"/>
            <extLst>
              <ext uri="smNativeData">
                <pm:charSpec xmlns:pm="smNativeData" id="1696577006">
                  <pm:latin face="Calibri" sz="200" weight="bold" i="0"/>
                  <pm:cs face="Calibri" sz="200" weight="bold"/>
                  <pm:ea face="Calibri" sz="200" weight="bold"/>
                </pm:charSpec>
              </ext>
            </extLst>
          </rPr>
          <t>Aswath Damodaran:</t>
        </r>
        <r>
          <rPr>
            <rFont val="Calibri"/>
            <charset val="0"/>
            <family val="2"/>
            <sz val="10"/>
            <b val="0"/>
            <i val="0"/>
            <extLst>
              <ext uri="smNativeData">
                <pm:charSpec xmlns:pm="smNativeData" id="1696577006">
                  <pm:latin face="Calibri" sz="200" weight="normal" i="0"/>
                  <pm:cs face="Calibri" sz="200"/>
                  <pm:ea face="Calibri" sz="200"/>
                </pm:charSpec>
              </ext>
            </extLst>
          </rPr>
          <t xml:space="preserve">
Function of both your target margin and your sales to capital ratio.</t>
        </r>
      </text>
    </comment>
    <comment ref="C8"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revenues from the most recent period (you can either use annual or the trailing 12 months). If your company had no revenues, enter a very small positive number. (You need a base for your growth rate)</t>
        </r>
      </text>
    </comment>
    <comment ref="C9"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operating income or EBIT from the most recent time period, even if that number is negative. If you have operating leases, enter the adjusted operating income (see the operating lease worksheet for the amount you have to adjust operating income by).</t>
        </r>
      </text>
    </comment>
    <comment ref="C15"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cash balance from the most recent balance sheet. This should include marketable securities.</t>
        </r>
      </text>
    </comment>
    <comment ref="B59" authorId="0">
      <text>
        <r>
          <rPr>
            <rFont val="Calibri"/>
            <charset val="0"/>
            <family val="2"/>
            <sz val="10"/>
            <b/>
            <i val="0"/>
            <extLst>
              <ext uri="smNativeData">
                <pm:charSpec xmlns:pm="smNativeData" id="1696577006">
                  <pm:latin face="Calibri" sz="200" weight="bold" i="0"/>
                  <pm:cs face="Calibri" sz="200" weight="bold"/>
                  <pm:ea face="Calibri" sz="200" weight="bold"/>
                </pm:charSpec>
              </ext>
            </extLst>
          </rPr>
          <t>Aswath Damodaran:</t>
        </r>
        <r>
          <rPr>
            <rFont val="Calibri"/>
            <charset val="0"/>
            <family val="2"/>
            <sz val="10"/>
            <b val="0"/>
            <i val="0"/>
            <extLst>
              <ext uri="smNativeData">
                <pm:charSpec xmlns:pm="smNativeData" id="1696577006">
                  <pm:latin face="Calibri" sz="200" weight="normal" i="0"/>
                  <pm:cs face="Calibri" sz="200"/>
                  <pm:ea face="Calibri" sz="200"/>
                </pm:charSpec>
              </ext>
            </extLst>
          </rPr>
          <t xml:space="preserve">
If your concern is that a portion of the cash is trapped in foreign markets and will be subject to tax, when returned, enter the trapped cash balance. If you feel that the entire cash balance is being discounted because markets don't trust managers, enter the entire cash balance.</t>
        </r>
      </text>
    </comment>
    <comment ref="B60" authorId="0">
      <text>
        <r>
          <rPr>
            <rFont val="Calibri"/>
            <charset val="0"/>
            <family val="2"/>
            <sz val="10"/>
            <b/>
            <i val="0"/>
            <extLst>
              <ext uri="smNativeData">
                <pm:charSpec xmlns:pm="smNativeData" id="1696577006">
                  <pm:latin face="Calibri" sz="200" weight="bold" i="0"/>
                  <pm:cs face="Calibri" sz="200" weight="bold"/>
                  <pm:ea face="Calibri" sz="200" weight="bold"/>
                </pm:charSpec>
              </ext>
            </extLst>
          </rPr>
          <t>Aswath Damodaran:</t>
        </r>
        <r>
          <rPr>
            <rFont val="Calibri"/>
            <charset val="0"/>
            <family val="2"/>
            <sz val="10"/>
            <b val="0"/>
            <i val="0"/>
            <extLst>
              <ext uri="smNativeData">
                <pm:charSpec xmlns:pm="smNativeData" id="1696577006">
                  <pm:latin face="Calibri" sz="200" weight="normal" i="0"/>
                  <pm:cs face="Calibri" sz="200"/>
                  <pm:ea face="Calibri" sz="200"/>
                </pm:charSpec>
              </ext>
            </extLst>
          </rPr>
          <t xml:space="preserve">
This is the additional tax due, if the cash is trapped cash. If your concern is that all cash is being discounted by the market because of management mistrust, enter the percentage discount to apply to cash.</t>
        </r>
      </text>
    </comment>
    <comment ref="B56" authorId="0">
      <text>
        <r>
          <rPr>
            <rFont val="Calibri"/>
            <charset val="0"/>
            <family val="2"/>
            <sz val="10"/>
            <b/>
            <i val="0"/>
            <extLst>
              <ext uri="smNativeData">
                <pm:charSpec xmlns:pm="smNativeData" id="1696577006">
                  <pm:latin face="Calibri" sz="200" weight="bold" i="0"/>
                  <pm:cs face="Calibri" sz="200" weight="bold"/>
                  <pm:ea face="Calibri" sz="200" weight="bold"/>
                </pm:charSpec>
              </ext>
            </extLst>
          </rPr>
          <t xml:space="preserve">Aswath Damodaran:
</t>
        </r>
        <r>
          <rPr>
            <rFont val="Calibri"/>
            <charset val="0"/>
            <family val="2"/>
            <sz val="10"/>
            <b val="0"/>
            <i val="0"/>
            <extLst>
              <ext uri="smNativeData">
                <pm:charSpec xmlns:pm="smNativeData" id="1696577006">
                  <pm:latin face="Calibri" sz="200" weight="normal" i="0"/>
                  <pm:cs face="Calibri" sz="200"/>
                  <pm:ea face="Calibri" sz="200"/>
                </pm:charSpec>
              </ext>
            </extLst>
          </rPr>
          <t xml:space="preserve">Be VERY, VERY careful. This is a growth rate in perpetuity, after year 10. Entering numbers significantly (more than 1%) higher than the risk free rate will render your valuation close to useless.
</t>
        </r>
      </text>
    </comment>
    <comment ref="B25" authorId="0">
      <text>
        <r>
          <rPr>
            <rFont val="Calibri"/>
            <charset val="0"/>
            <family val="2"/>
            <sz val="10"/>
            <b/>
            <i val="0"/>
            <extLst>
              <ext uri="smNativeData">
                <pm:charSpec xmlns:pm="smNativeData" id="1696577006">
                  <pm:latin face="Calibri" sz="200" weight="bold" i="0"/>
                  <pm:cs face="Calibri" sz="200" weight="bold"/>
                  <pm:ea face="Calibri" sz="200" weight="bold"/>
                </pm:charSpec>
              </ext>
            </extLst>
          </rPr>
          <t>Aswath Damodaran:</t>
        </r>
        <r>
          <rPr>
            <rFont val="Calibri"/>
            <charset val="0"/>
            <family val="2"/>
            <sz val="10"/>
            <b val="0"/>
            <i val="0"/>
            <extLst>
              <ext uri="smNativeData">
                <pm:charSpec xmlns:pm="smNativeData" id="1696577006">
                  <pm:latin face="Calibri" sz="200" weight="normal" i="0"/>
                  <pm:cs face="Calibri" sz="200"/>
                  <pm:ea face="Calibri" sz="200"/>
                </pm:charSpec>
              </ext>
            </extLst>
          </rPr>
          <t xml:space="preserve">
</t>
        </r>
        <r>
          <rPr>
            <rFont val="Geneva"/>
            <charset val="0"/>
            <family val="2"/>
            <sz val="9"/>
            <b val="0"/>
            <i val="0"/>
            <extLst>
              <ext uri="smNativeData">
                <pm:charSpec xmlns:pm="smNativeData" id="1696577006">
                  <pm:latin face="Geneva" sz="180" weight="normal" i="0"/>
                  <pm:cs/>
                  <pm:ea/>
                </pm:charSpec>
              </ext>
            </extLst>
          </rPr>
          <t>This is the forecast year in which your current margin will converge on target.</t>
        </r>
      </text>
    </comment>
    <comment ref="C11"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C12"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 xml:space="preserve">Enter the book value of interest bearing debt (short and long term) at your company from the most recent balance sheet. (Do not include accounts payable, supplier credit or other non-interest bearing liabilities.) </t>
        </r>
      </text>
    </comment>
  </commentList>
</comments>
</file>

<file path=xl/comments2.xml><?xml version="1.0" encoding="utf-8"?>
<comments xmlns="http://schemas.openxmlformats.org/spreadsheetml/2006/main">
  <authors>
    <author>Unknown</author>
  </authors>
  <commentList>
    <comment ref="D40"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By expensing R&amp;D rather than capitalizing it, the firm gets a tax benefit. This is the dollar value of that tax benefit.</t>
        </r>
      </text>
    </comment>
  </commentList>
</comments>
</file>

<file path=xl/comments3.xml><?xml version="1.0" encoding="utf-8"?>
<comments xmlns="http://schemas.openxmlformats.org/spreadsheetml/2006/main">
  <authors>
    <author>Unknown</author>
  </authors>
  <commentList>
    <comment ref="B9"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Use a sector average beta, if need be.</t>
        </r>
      </text>
    </comment>
    <comment ref="B13"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If your company has risk exposure in emergiing markets, incorporate that risk premiums here. See worksheet on country risk premiums.</t>
        </r>
      </text>
    </comment>
    <comment ref="B17"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Interest expense (gross) from most recent financial statement.</t>
        </r>
      </text>
    </comment>
    <comment ref="B18"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Generally found in footnotes to financial statements.</t>
        </r>
      </text>
    </comment>
    <comment ref="B23"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Current, long term cost of borrowing money. If you have a rating use it, if not use a synthetic rating. See the worksheet attached.</t>
        </r>
      </text>
    </comment>
    <comment ref="B11"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t>
        </r>
        <r>
          <rPr>
            <rFont val="Geneva"/>
            <charset val="0"/>
            <family val="2"/>
            <sz val="9"/>
            <b val="0"/>
            <i val="0"/>
            <extLst>
              <ext uri="smNativeData">
                <pm:charSpec xmlns:pm="smNativeData" id="1696577006">
                  <pm:latin face="Geneva" sz="180" weight="normal" i="0"/>
                  <pm:cs/>
                  <pm:ea/>
                </pm:charSpec>
              </ext>
            </extLst>
          </rPr>
          <t>If you pick operating regions or countries, please input the revenues by country or region in the table to the right.</t>
        </r>
      </text>
    </comment>
    <comment ref="B22"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1: Large market cap (&gt;$5 billion) and safe.
2: Small market cap (&lt;$5 billion) or risky.
If company has volatile earnings or is in risky business, use 2, even if large market cap.</t>
        </r>
      </text>
    </comment>
  </commentList>
</comments>
</file>

<file path=xl/comments4.xml><?xml version="1.0" encoding="utf-8"?>
<comments xmlns="http://schemas.openxmlformats.org/spreadsheetml/2006/main">
  <authors>
    <author>Unknown</author>
  </authors>
  <commentList>
    <comment ref="F5"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If your most recent year's operating income is unusually low or high, you can use the average operating income from the last few years. </t>
        </r>
      </text>
    </comment>
    <comment ref="F6"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Enter the interest expense from the most recent income statement.</t>
        </r>
      </text>
    </comment>
    <comment ref="F7" authorId="0">
      <text>
        <r>
          <rPr>
            <rFont val="Geneva"/>
            <charset val="0"/>
            <family val="2"/>
            <sz val="9"/>
            <b/>
            <i val="0"/>
            <extLst>
              <ext uri="smNativeData">
                <pm:charSpec xmlns:pm="smNativeData" id="1696577006">
                  <pm:latin face="Geneva" sz="180" weight="bold" i="0"/>
                  <pm:cs face="Geneva" weight="bold"/>
                  <pm:ea face="Geneva" weight="bold"/>
                </pm:charSpec>
              </ext>
            </extLst>
          </rPr>
          <t>Aswath Damodaran:</t>
        </r>
        <r>
          <rPr>
            <rFont val="Geneva"/>
            <charset val="0"/>
            <family val="2"/>
            <sz val="9"/>
            <b val="0"/>
            <i val="0"/>
            <extLst>
              <ext uri="smNativeData">
                <pm:charSpec xmlns:pm="smNativeData" id="1696577006">
                  <pm:latin face="Geneva" sz="180" weight="normal" i="0"/>
                  <pm:cs face="Geneva"/>
                  <pm:ea face="Geneva"/>
                </pm:charSpec>
              </ext>
            </extLst>
          </rPr>
          <t xml:space="preserve">
I use a 10 year government bond rate.</t>
        </r>
      </text>
    </comment>
  </commentList>
</comments>
</file>

<file path=xl/sharedStrings.xml><?xml version="1.0" encoding="utf-8"?>
<sst xmlns="http://schemas.openxmlformats.org/spreadsheetml/2006/main" count="1443" uniqueCount="794">
  <si>
    <t>Crystal Ball Data</t>
  </si>
  <si>
    <t>Workbook Variables</t>
  </si>
  <si>
    <t>Last Var Column</t>
  </si>
  <si>
    <t xml:space="preserve">    Name:</t>
  </si>
  <si>
    <t xml:space="preserve">    Value:</t>
  </si>
  <si>
    <t>Worksheet Data</t>
  </si>
  <si>
    <t>Last Data Column Used</t>
  </si>
  <si>
    <t>Sheet Ref</t>
  </si>
  <si>
    <t>Sheet Guid</t>
  </si>
  <si>
    <t>271d6a2b-7a93-4e27-808c-aa1aada6a76d</t>
  </si>
  <si>
    <t>eb12ad88-c3be-4256-b53f-793e1373a468</t>
  </si>
  <si>
    <t>faa3ee01-9bfb-4333-b742-7cca748c6e20</t>
  </si>
  <si>
    <t>Deleted sheet count</t>
  </si>
  <si>
    <t>Last row used</t>
  </si>
  <si>
    <t>Data blocks</t>
  </si>
  <si>
    <t>CB_Block_0</t>
  </si>
  <si>
    <t>CB_Block_7.0.0.0:1</t>
  </si>
  <si>
    <t>㜸〱敤㕣㕢㙣ㅣ㔷ㄹ摥㌳摥㕤敦慣敤搸㡤搳㑢㑡㘹㑤㑢㈹搴挱㡤搳㠶㔲㈰〴㕦㥡挴挵㠹摤搸㐹㡢〰㙤挶扢㘷攲㘹㜶㘶摣㤹㔹㈷㉥㤵㕡㐱换㐵㕣㔵㉥愲㔰㉥慡㄰ㄲ㉦㕣㕥㠰㐲ㅦ㐰㈰㠱㔰㤱㜸㠰〷㈴ㅥち㐲昰〰㐲㤱㜸〱〹〹扥敦捣捣敥捣慥㜷散㙥㕢㜰㤱㑦扡扦捦㥣摢㥣㜳晥敢昹晦㌳捤㠹㕣㉥昷㙦㈴晥㘵捡㌳㜳摤搲㠶ㅦ㐸㝢㘲挶慤搷㘵㌵戰㕣挷㥦㤸昲㍣㘳㘳摥昲㠳㍥㌴㈸㔶㉣搴晢㠵㡡㙦㍤㈴㑢㤵㜵改昹㘸㔴挸攵㑡㈵㕤㐳㍤〷攱㙦㈴㝥搰搹㙢㌰て戰㍣㌳扤戰昲〰㐶㕤ち㕣㑦ㅥㄸ㍢ㅢ昶㍤㌲㌹㌹㌱㌹㜱挷㥤㤳㙦㥡㌸㜸㘰㙣愶㔱てㅡ㥥㍣攲挸㐶攰ㄹ昵〳㘳㡢㡤㤵扡㔵㝤愷摣㔸㜶㉦㐸攷㠸㕣㌹㜸晢㡡㜱挷㥢㈷敦㌸㝣搸扣敢慥㌷て攲搵戹㔳㌳搳㡢㥥㌴晤㤷㘸捣〲愷㝣挷慣慣㕡㕣㥢㤴㥥攵㥣㥦㤸㤹挶㝦㠹昹攳改捥㠹愵㔵㈹〳扥㕡㝡搲愹㑡㕦㐷挷〱㝢捡昷ㅢ昶ㅡ㌷㑦户㡦㘱愹㔵挳てち昶㡣慣搷㜵㍢ㅥ戵㘴㉦㘰敦敡挶挶愰扤㈴ㅤ摦ち慣㜵㉢搸㈸摡换ㄸ愸㌶㘴㥦昱攵㘹挳㌹㉦㑦ㄹ戶㉣搸挷ㅢ㔶㉤ㅦ愶㕣摦㉤昱㄰挹㠹愹攵㑦㑣昹昶捣慡攱愹ㄹ昹摣㤸㡣戶挷扣㙡扡敤㑤摤挷攵搴搵ㅢ㌸收捤摤摢愱收慣攱㌵㕢㡥㜷㙦ㄹ㉤㍥㍤㠳摢扡户㑦散㔱扡捦ㅢ扡昷㔱㕢㤹㙥㉤〶㈲晡㔶㍢㡡挵攸㐵㠲㝥㠲ㄲ〱ㄱ愸㤷〹〶〸〶〱㐴晥敦攰㤲㘴㐷㔶㘹ㄵ㐳慢慣㘸㤵慡㔶愹㘹ㄵ愹㔵㑣慤㜲㕥慢慣㙡ㄵ㑢慢㍣愰㔵㉥愰㑤㥣㑡晤晤㕡㤴搶晥昹㤳㘷摥昷散晤挷㍦昵挸㙤㍦扡攲捦㜳㙢㠳㝢搰攸摥㘸㔲戳㥥㜱ㄱ愴搶愲攲㐳ㄳ〷昹㙦㙢慥〰㔳㤸㠷捤㍢捤挹挹摡攱㠳挶敤㐶㠱换捡㐰㝥㡡㔰㐶搰㜶搰扣捦㜲㙡敥㐵㠵扢敢愶つ㕦戶㌶㙥㍣慡㥢㜶ㅢ㑥捤㝦搵收㤵㑢㠱ㄱ挸㙢摢敢㕡㠳㜴㜴㕢〲㕢㐹㕦扤敦晡昶㙥㘷㡤㝡㐳㑥㕤戲挲敡㔷户㔵摢㡢㥥扢搲扤昶㤸㈷ㅦ㙣搶㜶捣㘸ち㐲㙤㕤㡤摤戱捡戰㉡㥣搷搸捣慡敢㑢㐷㑤㙦摣㕥戴慡ㄷ愴户㈴㈹ㄲ㘵㑤㉤昵㑡㔶㐵㕣㍦扥攰㘰愱攰搶摡㡤挹㔲昳敥㑢〱㤸㔹搶㌰摦㌵改〵ㅢ换挶㑡㕤㕥㤵㙡ㄲ扥ㄳㄵ晢㔳挵挷摣㙡挳㥦㜱㥤挰㜳敢改㥡愹摡扡〱㐹㔳㍢改搶㘴㍥㥦㔳㐲〱〲户慦㑦㠸摣慤摤㜹㐱㈱㈲㠱㘲㌲昲㌵㘹戲㥢㌸㡤搵㘱ㄵ㜵㐹㥡搴㕥扢挵㘰㥣慦㤲㌱ㄹㅣ㤸㔸ㄳ昵〷㕦晡晡㉤㠶㙤㘲敥攵㙤慣㘹愳搱敡敦㕥㤷㑥㜰挲㜰㙡㜵改㘵㙡㍦挱ㄹ改挳〰㠵换㄰〸㕤㜷㡦慡㑥㕣ㄲㅢ㠵㡢㔶㉤㔸㉤慥㑡敢晣㙡㠰㌲㘸挸㔲㠹㕢摢㤱昴㉢㔰愴敦㈵ㄸ〵㈸㤷㜳挵㝤㙣㔴㉣㈳攵ち㤴㑥ㄹ扣㥣ㄲ攴散㤷攲攵㐱昳㤸㔵て㘴㈸㤴㠷㑤㘰㈴搴㙡ち㝤㐳㈴㔱捦愸㠶ち㘳㥦㌹〳㉡㌵㉣㈷搸㘸昱㙤〷㤷㠴㐴戴㉢ぢ㜶㥣㉣愰㈸㐸换㠳っ㕥〳搱戴㐹㠳散挶〹㈲㈲ㅢ㘴㘸㜶㡣㥣㈶㌲戶捦㤰ㄱ㘸㥦㈴㐲戶㍥搸㕤㐶㤰搸㍢㠹㤴㥤扡昲攳慥㌴摢捣㤶て愵搹㤵搸㌸晤㉡㠲慢〹慥㈱搸て㈰晥〴〹㐷㈹㠷㝣㍡改慦挲戳㝥ㅤ挱慢〱㈰㥦㜴捡㥣㐸㔴搱㠶摡㡥ㅤ挹㜶㐳戰㤳㤵㔱ㅣ㡡㈲㕡挶㑤㍢㜳挸㔶㠸㡥慣捥㥤愱㙢昳㑡挷扥慥㍢㙤㈶㤷㐳㡡捣㘸㥡㕣敢ㄶ㑤㤳ㅢ挱愶㍤敡慤ㅢ搰㔵ㅦ㈳㜸つ㐰㔹扦㤱㄰捡㠵〶敦昶㉣㝡㥡㤴慦〸戳㈸㌴㠶㝡㔴昰ㄱ㈱昳〸㤰㈱攴㍡㡥㉦扢㌶㌴捤挱㜱昳ㄵ㙦㐳ㅦ攸捥摦ㄱ搲摢昴收慥摥愱扦攸〵㕡搱㌷㠱扤挴敦扡敡㤸㥢㔱慤扦㡥攰ㄶ㠰㌶ㅤ挳搳昷ぢ昵ㄴ㈸戳搸㑥㘰㙥㉦扤㉥捡捡㕤摥㔸㤳㑡〳つ㥡换㠶㜷㕥〶昰㘰捣捤挲ㄶ㜶㍤㑦搶㜱愸慤愹〲㥥㕦慥㑥ㄷ晡挷㍣搷㘶昹慥㡤散扦㈲ㄴ㐳㍥慦昵攵摡㙣攴っ㕢㌳攱㜳㑡㔰づ㜵昰敤摤㠵㐴愲㔳㥡扣搸㉦晢㝣戹㉢㐹㝡㤰㈴㙦挰戶敡户〲㐰㑡㠸摦㜴㤵㈸〷搸散㡤慡㔹摡㘲愵㠷㉦攳㜴搲收㐳散㤰㈳〳愱挳㜶ㅡ晥〳㝦挸㕥戲散愶戰ㄸ戰ㄷ愵㔷㠵㙦挱慡换㜲攸㤶愵愸搹㤵ㄵ慦㄰㔹搱搷搷㜱㥥捥昰慦㈹㍡㘹㤳ㄲ㤹摣㥥㔹㤹㜱ㄶ㙦ㄱㄵ摤㤰ㄴ㉡ㄹ慥愱愶〴㈲攵戱敤慥㠸改㐱挴摣㠶㡤搳てㄲ㑣ㄲㅣ〲㈸晣ㄲ㤲㘶扢ㅢ捦㜰㔸晦㍡㕤摡㤵㑡慥㐴㌴㈸ㄷ攱㜳㕤㠵搵㘱扥收㑤〴㜷〲戴㤹㍦㜴㐰㘶㄰愲㐲㜹㠲㄰㔵ㄸ挳㍣㙢挹㡢愴㠱㍤㈶〲㑢㌳つ㍦㜰㙤㐶㤶㠶捣㔹昷㤴ㅢ捣㕡晥ㅡ㈲㔱愳㘶㤴戹㙦㔵㍡愰㉥て戶㑦㕢㤹扢戶㈶㙢扡戹攴㌶㈰摡收㘶㜷挲挱ㅣ摢〱㕢㔲㥤捤㌵㠱搴摢昹ㄸ㐳〸散戴昲户搲ㅢ扢㉤敦㌷て㝤挳慤ㅤ㕤戶㠲扡ㅣ㌰㐳愶㘳扥㘴㘲ㄷㄱ㌹愸昵㥢换慢㥥㤴戳㐳收㜱捦慡搵㉤㐷ㄲㄹ戰㌱ㄹ慣㥢㤷攷ㄱ㈵㔸㜴ㄹ〳㜴㥤㈱㜳搹㌳ㅣ㝦捤㘰㐰㜱㘳㙦敡㐹㠵㐵ち收戴攵昸㜸㡤挲㈲昳挳收搲慡㝢ㄱㄱ摢㠶敤ㅣ㌷搶晣ㅤ㠱ㄵㄲ㝤㤸ㄴ㙡㠴㈶㌴㑤㤴戴㔲慦昸攱㠱㍣㤷㈳敦攵〹ㄴ慥㜲〵晡捣㌳戴㌷敤晡㈸㐶㐳㍢㥤㜳ㅡ㐴昴愸㔹搸㤷㈹㠵挹愹晡㕤散昳ㄶ㠰㝢㡥㥦㤹㙢㐵收㕥㔴捣扡㐰㉦㝦㠶㡣㔷㘴搱っ㠴搰㐷户㈷㈴ㄵ㤶㤱㜲挰㠱挰㌸㥦摡挹慦㙣慡㌶愴扥㍤慤散㌱㐴㤲〶捤㜹㘳㐵搶ㄱ㡦戶㡤㘰㑦昸㐰㌳搶㌶敡㝥㔴㌷攳摡戶㐱搲㈲㔹㉥㔵つ㔲昰㔴㈳㜰㑦㕡㡥㙥〲㈸晡㡢㡡㡣㑢㈸㌲㉥愹愲㐱昳㌴㐳㠳㉡捦戱摣昳㠶㘷〵慢戶㔵㉤昱㠱攱扢ㅤ㐱㤳㘰㜲㑡摥㌸挵㌲㘳慣捤㥡㍦〳㤳捤㥦〰扡㈷㈰㐷戹㜵㐴㍦㈸㔷ㄳ㐵晣ㄳ㍤㍡㤶㈰㘰㤴愷㔴㝦ㅢ㐶㉢愸摢ㄱ㄰㌹㉡㕤㡥敦㘰㕣㝥〴㈵愱㄰㈲搶㌳㐸〴㕥挱㠴㤰愷㡢扢㘸㥥㜱慣〰搸㈳挶㡥㔹挱慣て㤴〳㈰慢㡥户搷㉡慣㈶㍡㡤㌷戵挲つ㥤㔵㈹㌵㜱㝤㘷㝤㔲㙦扣㜶㤳敡㔰愳㈴ㄴ挹㔶㡤㤴㘶搹㘴㡥㍢㐹搵〸愵戸㘳㙤㈳戲摣愶慤㝤愷ㄴ㜹ㄱ㡡㐹搱㑣㑥㝦扢㈲ㄴ〴㝡㈳ㅤ㐵㥦㝤㌶㜹㈴㈲㌶戴〱捡搴㔳㘱搹㔰ㄴㄲ㥣挳戵㤳㥡㉣㐷㑦攰敦㍤㔱㜶愱ㄱ愴㙡㡣㑢愳㔱捤㔴扤扥攰挰㑡愸ㅡ㕥㙤㠷戰㌴搶ㄶ㙡ㄸ挵㥤扤㙡晦㜰㝢ㄳ㡣ㄸ戱㈱挳㈲ㄹ㝥㘰戰㈱㤸㉢ㄱ㔱愵㜵㌶挴慤㙥ㄶ㤷昸㜴㔲ㅡ㡥挲挰㔲㔰㥢㤵敢捡っ㙢㔹昲愳慡㐳昳戴愸攴愸㙥㑥慤昸㔰改〱攵㜸㤴㔳っ慥㥢愷改㤶挲㈵〶㠸摤㈸户㔸つ㄰摡㙤づ挰㤳挱捥挱づ㜶㈴っ㥤搰㍡愳〴㉤㘶㄰㙥㝡ㄱ攴㥤ㅥ㌱ち㐱㙡慡昴户愳攲ぢ㑦㌲㝤攳㘸㉥捥㐴㑣挴㜰㔷㠶昵〰攴㈶㈳㤳攴愲搱㌸㘰ㅥ㑡㌶㈵戴〶攳㌲㥡ㄸ㐳㌴昹扣〰户㜸ㄸ换ㅡ㈶摢搴㜱捦㉤戰愰㑤敢ㅢ㝢捣㌹愷㕡㙦搴愴㔲挵戱慣㔶ㅡ㜹㐷攰㑢㕤〱っ戹㈹㘳㕦愲㑤㤹挳㔱㡡㑢㈶㤲㝡户扢昵愳攸慥㠴ㅣ挶〸㔵ㅦ〳㤰ㄹ㙥㌹ㄵ㄰敢戸愷㐰晢㜰㙦敢〲㠳扡㍣〷㤱搶㔱㐴㔹㌶㡦晢㜸捤㈸戲攲戶㐴戳㜹㜷摥愵捤㥥㈸㍡㘱㠵㐵㍢〲㐷㔸㘷㈸昰㡡㐵ㄸ㈳㍤㜲〷〷挹㕤㡥愲扢㤷ㅦ㔱㡦戹换㐰㠵挲㠰㘰㡣㤷愷愰ㅣ㜶ㄵ㡣㐴㠳㕢㙢㔹摤㠲搱㕦㕡摥晡ㄴ㠰㘰ㄸ㤸〶㉤㕡㠶〶捥っ昲㕢ㅢ㌸㌷愰㔵㐶㠴㌴ㄹ㑣㘵㡣㜲ㄴづ㝢㈰つ摣挴㠳昴戲ぢ㈵ㄴ散㔳ㄷ挳攲扢㠹攳㌶㡥㐰慥㜷㔵㕢攱愲ㄱ攰晡㡢戳扦慤㜸慡㔶愳戹ぢ晦摣㡥挰㉡慥㙥㠴收攸扥戶㑢㔹㙡㑤戴敦㙥㙡慢㠸㉥ぢㅥ㥡㥤㌸㘱〴搵搵愵㘰㈳扣戸搵㉢㐹ㄴ㥥㠵㍦㘲搳户搳㘶捥㍢扣㠸扡捥扤㉦㕦㜰摣㡢㡥㥡㔷挱攷慤㍦㔰〸慥㔰昶㜳㤲攵摣扦昱㑦㈵㉤㔷昸㈱㐶摣捥戴㌹㐰换㐱挲㜱㔴ち愵挱ㄸ昲ㄹ㜴〲摢扤㜹㙢㠰㜴戲慦㡤㑥㤴㈰搸㈵ㄴ攷晣㑢㐶㈸攲〷㐰㉢㠹㈵㍣㤲㘳捦扦づ搶ㄷ捦愰㠴〸挷㜳㈴㐶ち慦㐱㉥〳㜵㑡㤰㐷㔷㍣㜸㈱攴晦〷㑢㌱㌷㙦捡㑥晦〵㘶ㄶ摦㙦㐷搱昵㐴搱昷㍡㔰㈴㜸つ㐴昱敦㍤挸挴愹挰昰散ぢち㠴㜳㑤扢〷搰㤷晤挲敦晦昰〰㍡ㅦㄱ㠷戲搱㄰㙡扢ㄹ捦㑤ㄳ愱慦挳㐴㘰昰㕥㤹〸㈷㤱ㄱ㡣攲㠷㈶㐲攴〳㔹㐰挱搶㈶〲㘳㝢ㄹ㠶㘰㈲搴㥡㜰㙢昰〴㜶㤵㑤晦搸〹㕣扣㤵㍥攲昹㔰㕡晥っ㍣㔲㔷㜷ㄶ㉦ㅡ㥥㘱敦㔷攵挷㍤〹㘵收㉤攳㈶户敡挲ㅥ搷㙥㕡愳㍡㙤攲慢㠸扤散扢晥㤴敤摤㕦〷愶挲ㄴ扡敦㐵㐹ㄴ㕦㠴愷㐴昰摣㤰㝢摦扥㙦ㅥ晦晤㐳㡦ㅤ攵㙤戵㠸㔶ぢ户㈲摦㑢挸㥥昶〴㠲扡㠹㡢㈲㔷昲挳㥣㤳昸㐴挹㕡慢换㘹挳㔳㔶㤰慦摢㜱㌶㈴扣〴㘱㠶挴户ㄳ㑣㑣摣㝢〸㑤捣㠹㌶㜷愷晡戰㐹戹〸㈷ㄲㄳ㔷㍥扤㌸㙣㈸扡㉡戲ㅥ慤捤挲户愱㡡㕥攰㐴搲㔶㈲㑦㥤㑣㐲㝣慢㕤搷ㅤ愶慥ぢて㌲っ晢挷㔲ち昱〷㔲㐸昲㈰挳ぢ〱㑡㑡㥤㐶愶㜰ㅢ㐰㐶㘴慤㍤挴㑢㝦挰慥㄰㤰捤㑢㝦㍤㝥挴㠲㕤〴ㄶ㘳㕦㝣慦㈷㕡摡愲戱㙡㘲愸㔶搹㌴㑢挸愸挳ぢぢ㈶攳搲㤴愵㜳〸愵摢㜶㐷昱㈵㐳㜶ㄸ㜸ぢㄹ扢㘰搳搷㔶戶敦㜶ㅡ戸昹〱㍤㔳㔴ち挳搹换㘲ㅣ㐸㔵㡣㉥㙣㕡づ㡢〸㠷挳㙣戳搳㐰㔴〵㥤攵散挷愹ㄴ挱㍦㝥㈹挴晡昱搶搰㔷戶搷㔰挷㌹晤㔸㈰㝦戰扦慥捦㘰㙣扣㤵ㅣ〳〹扢慤㔶愵昰㝡昸ㄹ㜴攱愲㜳㐲㙦㘵搵戳㌸㡣㍦㌱㘷昵㘹ㅤ晡㥦搱㙢挵㔹㘷搹㥢㘱散㤴晥扦ㅦ〵㕢敡㝦挱搸㥢㐲攴扢愲っㅦち㡣㥦㙣ㄹ戲攱㡥挰戳㡤攰㡤㍡ㄸ敢㉡换㤰㜷㤸㕢挲挷慢㘱戵㤲攰昰㝢攵摢慦㐶㌴晢搲戶ㅤ攸㉡〰ㄹㅢ㉡㝣ㅤ㈲愸㙢晦戴摣㡡㑦户挵㜷愳攳扥㤳㔶搵㜳㝤搷っ挶㤶㄰昴ㅤ攳户㘷㈶㙣㥥㈹昱戵㜶愱㜶ㄳ㜶㘲昰扤攸㜳㙡〱〲晢㤴っ㕥慡㔸㈴㈳ぢ摢㡢㘴昰㍢愴㤱㐴㜸㠹摡挱扦挲扣户㘱搴昱改敡〲㝣㥤〱㡢㜶㠴戲ぢ㍤捥敤㌷㌴戸㜵戸愳昵㑥昸㠳㘴㝤〲挱㌱戵㠴㜷扦㤷晢摡扥〷改戶搱摡㝣戶散捤攷㔶㉥㍣つ㥣㙥敦㉤㘹㤲攱㍢昹㐵㜲㔹慦㄰攲搲晥㔱晣摤扥㠳㤶愳㡤㠲捥愳て扡改〸ㅢ慦挳㝤戶㡤攸昷㌹㜴ㄵ㔳〴昸改㐶㤴攱㠳愰㤷㡦慣㈸扥㡣㘵㤱〱㤰捦ㄵ慢〰摤愹晡愹捤愸㝡㈴ㄶ挸㠲㘷っ㤲㘳㔹㝣ㄱつ戹㕤攱戲挱ㄲ㕣戶㔰㘷〹攴昵戸〷昲㌹挱戳㠴㥡挸攷搱愱㌹ㄱぢ愵摤㈷昲戹捤㈶㈲㘸〵愸㠵㈶挷ㅦ㠹戵㠸㕥㐷戵㙥ㄳ㌸〴㉥挰㌰挵㈲㘵㑤㌱っ㉤㍣㐳捣㈰晤㉡晡晢晣搱㕦㍥挷昴搷愳㐲〹㐲㔴愵㈷㑦㐱愸㈶晦挹攴攴㍤㤴㜶㥦晣挷㌷㥢晣〸㘵㈴㘷愲〷〰㐳㝤愲㠲㍦㙡㌱つ㘴戸㡦晣㠹㜳〴昸愵㘶㌱㘲愰㐴昵扤㠸っ晡㜲挳㔵慢㑢挸挴㝤ぢ㕣㝦挶挷㍤捡㍥攲㐵㐸晡㜲㡡愱㌳戶ㄸ㙡挵㤲ㅤ㜹㘱㜷㠴㙣挰㤲昸戵㙣㔷㤱㕥散㌱挲㉦㍥ㄴ㈳收挴㠹昸换㈹㉤㡡㌹㠱㌰㐲㡢㤴昴挳㡤ㄴㅦ㡣ㅢ㝦攷扢㉤㤷㈹㉡㤰㐰㍤㘱㘳搲㤹㙡晣㜸摣昸㄰扥捡㔲㙤㜲扣㐱挰昴㝣摣㤸昴愸ㅡ㍦ㄶ㌷晥换愱晤捤挶㌱ㅤ㠶㈳ㄷ㐸㈴ㄹ戶慥戲晥ㄳ㕦㘸て愳㜹挱愴晥ㅣ㌰挳㘲㑡㑥ㄵ㍡慥㉢つ㍡㠸换㈰ㅥ扥㤱㥥挷摤㈶㕣〱㠱㤰つ晦㔷〹㜳戸昳㌴㙢〴〶㍥㠱㕥㐷戰搹搳搵ㄳ㍢ㄷ捤〵て〵晤收㥣㡦㌳㔵㙤㐷㤱〸捣㠱㝣戸扦㕢㌸攵㌳㑣挷搶㝥挴㐱㌲㡤㜷㐸㝡㔳ㅥ㉡戰㤲ㄷ敦㡦㌱㥢㝢戴㐵㌳晡㈳㐰づ愴㈳㈰㌳晡愳㠰㘱㈰㠶户㤵㜳㈳攴㝦挵摣敦㘷挵〷〸ㅥ〳㈸ぢ㌲㍢改愰昸㌸挰㜰晣㍦慡ㄸ㕢㔷晥ㄲ㑤㍣ㄴ扦㉣㐹㐶晡㠷搸攱挳〰㝤㜰摦㡡㠸〸换晡㐷㔰㤲㝣㈹〵㠷㝡改㐷㔹昱㌱㠲㡦〳㤴ぢ㥣散戶㜷㡤㙢敡㔱㜳㝤〲㕤挵愳〴昸改㥦㡣㌲㝣㈸㜰ㅦ摥摡摤㔶收㔱㌸晥戰ㅦ愱捥搴ㄷ晣㜷攳㡢晣つ㉥扡て晦㐳㤲㠲㌲散昳摡㕢㝡ㅢ㡢㑣㐰㥢㕣晤搶戰搹㉦㘲ㅣ慥慢ㄵ㐱攱㠸㔴㉡㈵慤㈸㠸㙦㉥㔸戸㜸〳摦㜲㐴㔵〸㐱ㅡ㔰ㄵ㑥㔴㜱ㄴ〵晡愷搹㤴㌸㈶㥥昴捦昰㠹愸㔵㥢昸搹㈸挳〷㐱扣慡敥て㐴摤攳ㄷㄲ搷慡挲㙡㝢㈱昱慦㉡㔶㤳㉦㝣㤲㠳㈹㘴㈱㤳搶㑡㐴㥡愲愱㉦㈲㌳搴㌷捣戹摤㠷㥦㜶㐹㔴捦搵捥㥤晢挷㜰㝥散摡晣晤敦ㄸ㝣昲昹㕦晣攱㠹㕦扦攷挸㥦晦昵搴㔳扦晥攳ㄳ捦晤敢搹㤵㈳㍦㝢晡改㥦摥昳㤵攷晥戰搷晣慡昶摤㝦捣㝦昵攱挹ぢて㍦㘸㥥戹昵昸挳敦㝡攰摥挹挵㉢挶晢晡晡晢㙦ㄹ晤昹㌵慦ㅦ㜹昴挱敦㡢ㅦ晦昶㙡㐷愸攵攲〵改㘹㜰搹㙡ㅡ㕦㐲〶搳攰㡣㕦搶㘹㜰戹㙡愳㔶愲㡤㥡㐶㐱〹㍥つ㑥㐰㔵ㄸ改㡡㠱晦〰ㅥ换戳戵</t>
  </si>
  <si>
    <t>㜸〱捤㕡㙢㙣ㅣ㔷ㄵ摥扢扢㌳摥㔹摢昱㌶㐹㑢摢昴㌱戴〹㝤挴戵散㈴㙥ㅥ㙤敡昸㤱㠷愹昳㘸搶㐹㠵〴㉣攳摤㍢昶搴扢㌳敥捣慣㘳㔷戴㠹㈸㤴㡡㠷㉡〸敦慡㉡㡦昲㠳愲ち愱戶昰㠳㤶㔶㈰㠴㉡㐰昰〷㑡㠵㔰㜹〸㐱㘹㐱㠱㥦㍣㔴扥敦捥慣扤慦㌸㑥ㅡ愴摥㘴捦摥攷戹昷㥣㜳敦戹摦㍤敢㠴㐸㈴ㄲ㙦㈲昱㥢㈹捤捣㔵昹挵㈰㤴㤵扥㔱慦㕣㤶挵搰昱摣愰㙦搸昷慤挵〹㈷〸㔳攸愰ㄷㅣ戴〷㕡㈱㜰敥㤳㤹挲扣昴〳㜴搲ㄲ㠹㑣挶㐸愲㥤㝤昸挹搵ち〶㑢㐶㥡〴扤ㄲ㕤㍡挸攴攸挸攱愹㝢挰㍦ㅦ㝡扥散㌵㡦㐷㕣㜶てっ昴つ昴㙤摢㍥㜰㙢㕦㝦慦㌹㕡㉤㠷㔵㕦敥㜶㘵㌵昴慤㜲慦㜹愴㍡㔵㜶㡡㜷捡挵㐹㙦㔶扡扢攵㔴晦搶㈹㙢摢㡥㠱㙤㠳㠳昶捥㥤㍢扡㍡挰昹搰攸挸ㄱ㕦摡挱挵攲㤹㈱捦挳愳㈳㝤㠷㘴㜸戱㜸ㅡ攰〹㤶㘳㕥挵㜲摣㡢挴㔴愳㤶〷挷㘴搱愱㌹愴昴ㅤ㜷扡て换㙥㔰㌴㑡摢晢㠶㠳愰㕡㤹愳㘵㐷㘵戹㝣㔴摡ㄴ搱愸㡣〵攱ㄱ换慦〴㕤ㄵ敡㑦晡搲㉤捡㘰㑤㘵敦㐲㔱㤶攳㡥㐱愶㜲摣昲て㔹ㄵ㤹㘶愶愷ㄲ搹㜰扣㈴摤搰〹ㄷ扢㉢挷〲㜹搴㜲愷㈵扢㘸㤵晤㔵愷㈴搲㘹晣㑦愴㙥㘸户㌲㘵㈸慣愷㌲㍡㘳昹愱㉡搱㠴〳敤晡搶㙤ㄷ㈵㐵挳扡戸愵捣愶㔱戴㔹摥愹摣㈹㝤㔷㤶㌹〹挵摣摣搴㐹㈹㈸戲挳㤲愶㙡攲搰㑡愲㌳㍥づ㤴㠵戳攸㔹㤰㉢㡥戹㡥敤昹㤵摥㠳㡥扢扢扦慦㝦戰昷愰戵㠰捣㤶㐱愳ㄳ捤㐶ㄷ㍢㜶㠳㡣㡤㝡㤵㌹慦敡㤶㘴挹戴㕣户㙡㤵㑤㕦捥㑢户㉡捤㘹摦㍢ㄱ捥㤸扥ㄵ㑡搳挳㈱㌲㕤戹㄰㥡㠳收愲戴晣挰摣㙤晥攰扢愶㌹㕣戱敥昳㕣㘳つ㜹昶㠰㠸昴ㄹㅣ搷晡㈵㜱扡㘴挱㑡ㄶ愶㤲㠵㘲戲㔰㑡ㄶ㘴戲㘰㈷ぢ搳挹挲㑣戲攰㈴ぢ昷㈴ぢ戳攸㔳㑢㤹㡥㡥㘴㥣摥晢攸㙢㔳慦ㅣㅡ㍡㜰敡晡攷昵㈷㑦愷扦㉥㜸㐲戹㠹昴㑢㐰㝡㈷㝤〷㤶慣㤶㉤扦㈶攵昶挱摥〹㘷㔶㤶ㅤㄹ㠴㄰㜶㘰换㤲搸挶㕡㡣㌰搶㜱散㝡㤰㠹㐹换㥦㤶愱㌹攷换㕢㐲㙢挱昴收㈴挴挴㝥㌴㉢㘸㜰㕣昳挶扤㈳攳㤳愶ㄵ㤸㥢㑣捦㌶〳慢㉣〳ㄳ搵ㄴ摤ㅣ攸扦愹㔱晡㑢挹晢㌲㄰㈱㕥㠳昴搴挰㕤挱扦㤳ㄵ晢搷㝢㥦晢敡㈳㝤晦扤晢收㔹㐱扦愲㤶㝥㌹㌲搷ㅥ㠲㘹攰㉥づ㑡㑢㔹㘷晢捥敤扤昹戰㌴㈶攷㘹慢晥㕢㡤㉢挸昱㑡㄰㝤〳挸挶㜱搷〹ㅤ㔸愶攸〵㈱搷㔳戴收㥣㄰攵〶ㅢ㕣挵㌱㔷㠳〸昱㠷㜸ㄵ扢〶攴愶㝢㌳㐳㝢㥥ㅤ晡捦㑣敦戶㤷㌷㜴㕤㡢收扢攲晤㌲收㕢㈷㈰昱昲攱摥搲㠷挹㔷攳搵攰搴散㐱㝢扢㍤㌰㔰ㅡ散户戶㕡ㅡ㙤扣摡攳㤳㐳摦㉥晢㙥挷㉤㜹㈷搴㜹扡㙡挴ち攴昲昱摡ㅣ户㡤㜰㔳〶ㅢ摡㌷收㐳㙣捡㉢㥢摢㤶㤹戴っ换挳摢挸㐰捤㜷㑤昳戰攳㔶戹㉡㠷ㄷ㥣愸昹敡愶㘶昸ㅡ㙦敡散慤晢㝣㜹敦㔲㙢换㡡㠶㜱㍤捤㉢摥㉤㔲㐶㑤搱扡捣搱ㄹ㉦㤰慥㕡摥收捡ㄱ愷㌸㉢晤扣攴攵㈶㑢㑡搴㑢搹ㄴ㍢扣捤㠷㕤〸ちㄷ㔶扡慥扥搶摥扢㄰㑡ㅥ㘳慣ㄷ扢㌹㕣㥣戴愶捡昲戲㠶㉥搱㥣㘸戸愲愱㝡㥦㔷慣〶愳㥥ㅢ晡㕥戹戱㘵戸㌴㙦挱挹㤶づ㝡㈵〹ㅦ㤹㘶㑡㠸㐴㉡㈵㐴攲收㜶㡥㡡㝣㠳㍥㘵㠸㍡ㄳ搳㘵㕥摥戸敤晡㡥㐲㍡㐸㔱㤶摣㤳挹㡤攷㘰愶昸㤲捤㑤㘷敦㔸㈷ㄳ㤱〰㝢摦㜸昶摥㙡㡤㑢㤶晢晦㜶㑥㈶搷挵搲敦㠵㙢つて㔸㙥愹㉣晤ㄵ㜱㡣攰㡡っㄳ㐴㝢ㄵ愷昹慣摡愳㑢ㄴぢ㘲㔱㍢攱㤴挲ㄹ㝤㐶㍡搳㌳㈱敡㠰㜵㌲ㄹ慡戶㈵ㄹ搷愱捡戸㥥㘴㈳㐸㌶㥢搰㌷戱㤳㥥㌵摥ㄵ㤵㌵摥づ攷㝦挵ㄱ㑤ㄹ敡㑡〵晥〹戴捡㍥捦て㔲愹㜶㔲ㅥ戰㠲㤹㤰摢㜳挵㐶㕥㘶挶つ㈴㌷㠲㘸扣㘳捥㜹㠳昲づ㑡ㄳ㈸㜴㔷挶愴㙤〱㥥愹搳㉤㉣慤ㄲ摤昸㘳㌲㈸ㅡ㠴〶攳㌸㉢ぢ㍡㜲㌸晣㕤ㄵ敥㝥摣㙥㘳㔶㘸㜵㔴〰㌲㘰㈵〳㥤㌶慢㔱㔱㡥㈳扢㔵㕤㙤㜴㌶㉥㠱㐳㑥㘵敢戸㜴慡㡡㠸ㄳづづ捥㑢㈲ㄵ搳㤵㠵挰摡〹〳昴收㡤摥〸ㄶ㠰㘱㑡晢愵㍢戹㌸㈷〳㜶捦攸㉢慡戲昹㜸㤱搹攱攲搴戱搰㈹〷㝤㔸改㝥摦慢捥㕤㔴㍥㔸㤳㜱ㄳ㐸㉤㘹扦挲㉥㕥扤㑣挴昹ㅤ昳戴㑤愱㠰慤㡣ㄲ㙢っ㈲ㄶ㠳扢ㄵ捣摥挴㤷㑡挶㉤昸捡慥搴愶㜱㕢㥣て戰㔲慦㠰ち㌴㌴改㑢〵ㄵ㌳慡〰㙤㜷㔷敥昶晣搹㈹捦㥢攵㝥㕡愳㑡挱㡣㤴㈱攱㔷㘷っ㌷ㄵ慣ㄴ㈲㤵㙡〰㐲㜵㌸㡤挰㑤ㅦ〰改ㅥ㉥㤷捤ㅡ挷㐰摦㠲慡ㄴ㠰愰扥ㄵ㤹つ愳摥摣㈲慦晢〸㘴攵攵㕣戸愵㝦㘰㐷摦㐲㌹㔸㄰㍦㠵〲〸㌴ㅥ㝥㙡敤敢摦晦攱昱㤱㘷㠷ㄶ敦㔸ㄷ㍣㌱㈳㝥ㄲ㌷戴㠰㈷㈲㈰㠵晤㙥㐵㐶扣㠴㙥慦攲㠳㝣㘳㌲㜶愰㙣散㈴搹〵〲昷愰ㄴづ敦㜰㝢㔴ㄴ㐴㔱昴㄰挶㙥㤲㍢㐰〴ㄱ㤰挲㠰㐳挸搴㤲㜸ㄱ晣㘹㜶㘵㍡挲慥㔶搳㡤愲㌶㙢慣搰㈶㠸慢㘸㍥㠳敡㌲愸㈰㠳捡ㄱ摦〱攳戶ち㜸㌶㙥㘸㠱㘰〴㔵㑡〱ㄳㅣ晦㌴扡扤㡡て昲㡤挹㌸㠴戲㜱㤸攴〸㐸㥤〲㡥㐶㐵㐱㘰愶ㄴ㤰㘷愷㐹㄰㐱昰愵ㄴ㜰っ㤹㕡ㄲ㑦㠲晦㤲〲㠸攴㕡ㄵ昰ㅥ搴㘶㡤ㄵ摡〴㈱㕤㍢〵㝣ㄹ捣摢㉡攰昱戸愱ㄹ晤㘹㈶㌸㥤挷慤慤㜴㘵ㅦ㜷攴〹扡㤹㌵㌶㥥㑥愳搵㈰昴㤴㑦散戶挷扣㐳㕥㌸收〴㜳㘵㙢㜱㥤ㅤ㘷敥㥥㤱㉥㄰㡢て攰搲㔴攷捤捤挹㤲㘱攷扤慡㕦㤴攳㘳㙦〷㐴〳㜵挰㜴ち捣㈴〵搲㠵㕤搲挰摢〲扢〴㈹愱昱㙡㙤昶戵敡〱㔷㠷㡢㔴㤶㈸戸㘷㔹愳㤳㑥㔸㤶㥤戶挲㈴㉡㥦戱愱挵攲慣㉣㜵搸㤳㌳昰㐱㘳摤昶㝥摦㈹㤵ㅤ㔷搲ㄸ敢愳慥ㄳ㜲ㅡ㤰敦㠸ㄷ攰㜹攰戹摤昶愴㙦戹挱ㅣ㙦慦攲攲摡㠶㤲扡收㌴㝢挴㜱〳㑣愳慣挸㝣㡦㥤㥦昱㑥㈰㤰㔲慤戸晢慤戹攰㙤㘱ㄵ扡㡢㈸㈹搳㠸愴㐸㈶㐵㈶㤹戹㔰晢攸㔳攰戶㍥㝥㄰㥢搸愸愱敦㑣㔵愹㌱㌵ぢ㕤㑡㥡㐴ㄹ㌱愱ㄱㄹ㌵㕦㔴㜵㌶㙣㐲㤹㕣㙣㐳㍣愲㉤攰㔹ち㑦㈹㔴㔷攴㤸ㄲ挸扢昷ㅦㅢ㕦㝥㝦扤愵挸㤲㐶㉣户㙡戸慢晣㜵戴㠷〸㠱戹愵㜰㌴戱ㄵ㔸㙡摥㤷㔹㕢昵攱ㄶ㕤戳㥣摤〷挴搴㘵㑦㔸㔳戲っ愰㔷戱挲㌵㔱㠱㠸ㅢ㙦摢㈰㙥㐳㜸愱㘲㜱捦㌱㝥㤲㉦攲㈱㥤戱㠷慢愱㠷戸㠴㘱㠳愸㡤ㄹ㔷㔹ぢ愸戲ㄶ㈲㐸㘶ㅦ攵〳㔰攵挹换㥢戶㝣㈷㥣愹㌸挵っぢ㝣愴扤㉤㌶㉢ㅣ㐸ㅡ㥡慦愵㥡㌳㘹挶㜸ㄱ搲㠲戹晢昰㉣愲敡㘸㝥㙣改愴搰昱㑦㕣攰晢〰慥㐷摤㈸㠶つ㙥ㅡ昱㌷㝤㤱㑡㘷㙡㌱搳㌳㈷㔱愳扣㤳㈰扣㘷戳㌱ㅤ㘷㔸㐸ㄳ㘱慦〸ㅥ戹㘷戳ㄳ㥥㔵摡㘷ㄵㄱぢ敤㠸㈳愱ㄹ㐶㡥攰㙢晣ㅣ攱晣㈸㕥㠸㜸㜹捥㍢㈵改㘷㔸㤱㐷散㌵捤㠷㠰ㅥ搹㄰挰㈶㤵搰戴捥㑣扢戹挶㙢扣㌶挶㈰愹㍥戶㍢摥挲晦㡤扢㜶㈸愰㤱捤愶戰㌶㘳㠶挴〱ㄱ㌷㠲㔰㥥愶づ昷戰挳㉣㠸㐶㐸摡㙣㥢㐶㘴つ晣㑤㜴㤶㔶㌱㐴㘲晥っ昰戱㝡㉣㘸㑡㤰捥㍡㤰慦㐷昸㍥㔳ぢ㑣敡㜹散㜲㔹捡㐶づ㤶㡦〹㥡㈳㤹㑣挳搴㝡㜳㠰愴㘵㕡㌰慢攴愵㐲晦㠲㠸㔷㉦㠳㑣昰戰㠰㝦攱愲挴改㥡愱㜳㌶㙢㈸㈷㤸ㄵ挴搰㌵捤昱攱㤵捤搲散㠶㐷㌲〷㈲㠸ㅡ㑤㝣敡慥㍢㐱愸挸㉢㉦愱摦ぢ昲㡥攵㠰摣㌹扤慣㈰挰愴愷㌵㝣㄰㐱愴㐹〷戶戴愱昹㠴㍤昷㠶㈶㈲㔵ㅢ扡ㅡ㘷㔸㄰㠴愵㌵㔱㤰㠵㈸㙡㤷捣㈳㙢㥣〰ㄱ㠴慣㙤㍡㉣戰挳㈲㍢㜰㜳㜱愷攸昷㠱㑣搶㉣㜰㔱㘳㠶㙤㉣昱㐱㑣㤶挸㡡㔱搰摡敡敡㉣㜱㍦慡㡤〷㐰〴攱慢㠹㑦扤㈵㠸㔹㈳㑢㥣㐴㙥㕤ㄴ㕦㍣户ㄵ㠸㜲㤵ㄵ㑥㈱㈳〸㜷ㅢ慣昰㈱㔴㥣摢ち㠴挵捡ちて挶ㄹ㘵〵㘲攳㥡ㄸ挸搶慣昰㘱㘴㡤㡦㠰〸攲收㌶ㅤㅥ㘲㠷㡦戲〳愱戴戲挲挳挸昴搶慣戰慡㔸㘸ㅢ敤㝥っ㑣愰㕤攲敤摡慣㜵摡晤㌸慡㡤㑦㠰㠸㈲〹㑢㥦㡣㌳㈹㝣㙢㌶㐸戳摦㘸昱改㘹㜴捡摡昴敥昹㜰戱㡣ㅢ㤵㔹晡㤱㈸㐷㡦ㄸ㌵挳扢㜹㍥㝥换㑡㌷㠷㜵㤶挶㕥ぢ㔶㥤敢㥢㐲㘶㙡ㄸ㕢㑡昸㘸㍥㘰晥㔹挷㔳㠲攵昷㌳挷㌰改㡦㠰慣㍦攸ㄴ㝤㉦昰散搰捣〳㉥㥡っ㐱㐲扣晥㘱㙤づㅣ摢捥㐹挱搲㉥㝦㌱㤹攷㤳㍣㍢敢㝡㈷㕣戵ㅡ㉤㘰㈴㔶改慢愳㠳搳昰挷〷㤵慥㠷ㄶ㜳搳挸㜲戰昱㈹㤰敥㔴㡥㥥㥡㈹攷㐴摦㠹ㅣ㕤㌳㔳㡥敥㤹㐹愳㐳㕡慤慦㈴㙦㌱㈵㡡愲㈴㘴扡愳㐳㙣㙡㡡昷戵昸搸愵㠰㠹慥搳挵㙡㉥㐴㕥摤愰㐶㡤㜲戰㤲晡㌴㌲挶㘷㐰戲㌹晡㑡㉥㐸晦㉣挸㥡搱㤱㐲ㅤ㔴搴㍦㠷扡㉥搴愹㍢〴扦㘸〵晡攷㔱㜳〹㙡ㅡ㝦愱搲扦㠰敡戵愸㐶ㄴ愰ㄶㄷ攰ㄶ捡搱〹㉢㔵慡㘷㤹㝡㝥㍥㡡慡攸㌱慣㥣㈸㑢㡦㠱㜰㕤摣戴㠲㑥㤴ㅢ㔷㑣㐱㑡㙥ㄷ攴ㄳ〶昷〰捤㉤㍥㠰ㅡ㥡扣搱㘴㜴愵㙡㥥慦㈰〳㤳搱㙤㌲攵攸㍡㤹㜲昴㤳㑣㌹晡㑡㈶㐱捦㐵戳㠹昷㠳ㅤ㔵㑡㈸㘲㝣㡤攴〹㤰㙣㡥捥㑢㌱愵㙡っ敡挲愰昸〶㠵捤搱愹愹挶戵慣㕡㐷昲㑤㤲慤㈰攲ㄴ〹㑢㑦挵ㄹ㈵ㄹㅤ㤳㤲散㈸㈶㙢㤵散〸㙡㕢㈵㝢㄰㠳搴㍣摦㐶〶㤲㝤ㄸ㕦㑣㌹扡㈳愶摣㐳搱㜷㈲㐷晦挳㈴攸㌵㤴㘴㠷㘲挹㌸扤昱㌴挹㌳㈰搹ㅣㅤ挷㔹㈵愳㐳㔱㡤㔷㜰〰挳〶挶昷㐸㈸㔹㡥晥㐵㌵㍥㡦㑣㜷㑡攳ㄱ戹慤㘹晦戶㝦㜷㙣㙥づ昵敦㐵攸㝥㤱㍡㑦〱㜰㐵㌰㈵㥤摣㜵㘱扣㜸㐲㍡挰㡡ㅦ㙤〴㔲扦〵㍥㌴摣戲ㄷ㈲㐷扡〸攳〵㤰㥥搳㈰ㅡ㍥㍡㍥㜵改捣㔰㕣搸ㄳ㝤㘷攲敦摣㥥ㅥ㥥㌲㌵攲㝤攲㥤㥦ㅥ搶㝥㜷昲昱㝦㍣㜹摢愶挷扥昵㘶晣㝤昲㑢㕦㘴晡㐶捣攱ㄷ㐳㠲〷愴〷㥦收搸搱㙥㠸㜵〶㥦㤶攰搹敤㜱㐳㜳昰㉣挷㜳愵㡣昵㈳㘴扡㔳㠲㠷㠳〶ㄳ扢㌰㠲㕡㔲㠲晤ㄸ㌵㍤摣昶ㄴ㙡搵㠲愱㉦搲晡㍤㍤㑦攰㑢㡤㍣㥢㠰㕢㔵㝡㍡ㄶ昰挵愱㐸攰㤷㠶〴捦㑢㍢㐱〷㘳㜹㕡〴摤ㄶ㌷㌴〷挹㜲㍣㘶㑡搰㥦㈱〳㐱㜹㔶㤴愰㕢敡〵晤㌹攷攳㈹㌸㍦ぢ昲挸慣㘸挱〳㉦摣㝦昵㡥改㘷㠶晥昵挰㍤捦㠵愷ㄷ㠶〴㡦㑢㍢挱㙥㌹㥢㘰扤㜱㐳㑢昰㡢愷散㕣挱慦扡㕦〹㌹愹㘶搳昳㜶摡㔱㌵て〶慥㙦愷㕣㔶㌷㕦ㄷ㥥慡㍥㝥愷㥢㐰㐸〶て㔴晣㡥ㅦ㍢㜲㠴㙡㠸晣㙢㡦㈱㐳㤵㌸㔸户て晢㜸ㅤ㜵搸攳〱㐲㘹愵っ㝥㘷〸㐳晣昶晦㜶㜸挷〲㡢愴改㐰昸㑡挳㥢㈵搹ㄶ〶㜰㡦慦㄰㘲㔸搶㐷敤攷户㈴㕦戸ㄷㄶ㔵搳㝦㠹挹㤶㠲㌶愵扡愰㑤㕡摣っㅢ㐷敥晤㔴攲㑤慥ㄹ㙦慣㠴昱㌲扥㔴㝣㔸摤ㄷ㈰㔹攳ㄵ㔶㙤慡㤱㠴昶〲戲捤㤲ㄱ㤵敤愳攸㑤扦愰㜵㜶㔲摣㕡ㄲ㍣昷摣㐲晡㙦㐰敡㕦㍡㡤㑢摢搸㜶㘹扦挵㤸愶愵扤捡慡攵愵〹扡づ㉥慦㤶〴捦㥦㥡昰昷挸搴〰㝤攳㘴搷戴㥤散㡦攸摦㌴搹㥦㔸㔵㌷ㄹ㡦㙦晤㘴ㅡ㜵户㙡换搲慢慦挳ㄹ㠸晦昸㡡愱㤸捤㘵晥改㔵扢㤷㝤㘳攴敢捦ㄸ㉡㘸ㄵ昲㌰晥ㄲ㘷㔸㄰搴㤱㌲攱㙢㉣㔱㍤慡捦㕦攳㡣敡㐳搱㔴㥦搷㔹㑢愹㔴㥦㌷敡晢愸㈹㔰㘱晣つ愴㤶㜲㥣㑡戹戵扦㈳〳户愶㈶㐱戶戱ㄷ㈷㔳扤捥㐴扤搴㌴㉤扤㌸㥤敡昵㑦搵㉢㔷㥢㐸㤰户昲㤵摤㌰っ㉦㠵ㄱ㔴㘴㐴㐲㤰㥤㙡攸㙡㙡㈰〷搵搰搹搸搰昹㍦㕣昷慥㌶</t>
  </si>
  <si>
    <t>㜸〱捤㔹㕤㙣ㅣ搵ㄵ摥㤹摤㔹敦慣搷昶收㠷〰㠱挲搲㈶㠴攲㜴ㅢ㈷㠴〴㘸㑡散㜵散ㄸ㥣搸挹㍡〹㤴愲㘵扣㝢㈷ㅥ㌲㍦㘶㘶搶昱愲愸愹搴搷㍥昱㔲搱㐲㐱戴㉦昰挲㕢㝦㄰㉦慤㤰㡡㔰晡㠶㐴晢㔶㈱愴㔶㉤㐲㔴㝤㐱㉤ㄵ晤扥㍢戳敢摤昵㝡ㄳ㑣㉡昹慥昶捣晤㥢㌳昷㥥扦㝢捥戹〹㈵㤱㐸㝣㠱挲㈷㑢㡡㤵㍢换㡤㈰ㄴ㑥戱攴搹戶愸㠶㤶攷〶挵㜱摦㌷ㅡ戳㔶㄰㈶㌱㈱㕤戱㌰ㅥ㘸㤵挰㝡㕥㘴㉡㉢挲て㌰㐹㑢㈴㌲ㄹ㕤挵㌸㤱昰㥦㙦㌶㜴扥㤵㑢〱㉣㤴㈶收ㄶ㥦〵搶㜲攸昹㘲㝦攱㝣昴敥戱戱戱攲㔸昱㠱㈳㘳てㄶて散㉦㤴敡㜶㔸昷挵㌱㔷搴㐳摦戰昷ㄷ收敢㡢戶㔵㝤㕣㌴ㄶ扣㑢挲㍤㈶ㄶてㅣ㕡㌴ㅥ㌸㍡昶挰攱挳收㐳てㅤ捤攱搳㠹搳愵㠹㜹㕦㤸挱捤挲㤹㈶捥戹搲㐴昱戴〸㙦ㄶ捥〱攰〴捡㐹捦㌱㉣昷㈶㈱搵㐸摢㐳㤳愲㙡㤱〹㐲昸㤶㝢戱㠸㘵㜷㄰ㅡ慤㈳挵㈹㔰扣㙡〴㘱㐹搸昶㔹㘱㜲㌱㌹㠷㌴ㄳ扥㜰慢㈲ㄸ㜶㑥慣㔶㠵ㅤて〷ㄹ攷扣攱㥦㌶ㅣ㤱㘲㘵挴㠹昸㌶㔳ㄳ㙥㘸㠵㡤㈱攷㕣㈰捥ㅡ敥㐵挱㈹㥡㌳㕤户㙡愹㤴㤲㑡㈵㤲晢㝡㉤㐶昲愶㌸攵㔷㑢㑢㠶ㅦ捡ㄶ戹㌶搶㙢㙥㥢㠴挸㠵㜷㉣㡢㔲㔴攸㝡㡢㙣㉡㕢捥攳挲㜷㠵捤㡦㤰㜹愳㕤㤳㈴㑤㈲搲户㠸搳摣つ㘹愱っ挶㜲㉦户㠲づ㍤㐳愰〳愴戳〰扢㑥〴愱攵ㄸ愱愸ㄵ㔶っ扢㉥ち摦づ戰ㄵ愱て㜲㔶づ㐰㐹晤ぢ慡搴㡥㠵㐳㙡挵㔰㉢㡢㙡愵慡㔶㙡㙡㐵愸ㄵ㔳慤㕣㔴㉢㑢㙡挵㔲㉢捦慡㤵㑢㤸搳㉣㤹㠱〱㌵㉥摦搵昷㝦昰㠳㜷㜷㥤晥敤慤㝢㍥晦昴敡摦㝥㤴ㅢ挶愴㌳昱ち㈷㝤攳㌲搸扣㈶㐱〷㡢〷昸扢扥敡㐰㜳捣挳收ㄱ㜳㙣慣㜶昸㠰㜱挸搰戸挷ㅢ㘵搸㑥捣捤㤹ㄷ㉣户收㕤㤶ㅣ捣㤹㔳㤶ㅤち㕦㌶㐶㑣㍣㈲㈹㤴敤㈱昳挴㉡搴户ㅡ㌱㝢愷㔹ㄲ㝥〸戱てㅢ㙢ㄲ㜰攷㠴ㄱ㠸戵收㘸㡣㝢挲慢扢戵攰㡥摥㠳攵㄰㉣搸摤㍤戶㠶㘴摤㙢㘵愸㠴〸攴㤲敥敡㝥敤㍣ㄹ㌹扥㙡㐵挳㕦敢ㅡ㠶㜲㜸㡢ㅢ㡦㑥昹攲戹搶攸扡ㄵ㡤挳㜲慥㐸摣敢㜶ㄹつ㐵敢㉡㤴㤶扣㐰戸㜲㜹愳捥扣㔵扤㈴晣戲愰摤ㄵ㌵戹搵㕢㌸ㄴ㙢攸攸㥣㡢㡤㐲攷㙡㕦㙦敦㈵愱㠵㕢ㄳ㌵慣㜷ㄹ㔴㙥㉣ㄸ㡢戶搸搵㌱㈵晡㈶〶㙥敦攸㥥昲慡昵愰攴戹愱敦搹㥤㈳攳戵ㄵ〳㔶愱㜶捡慢㠹㤴㉣㠹〸㉡㠹㘴㔲㔱ㄲ昷昵㔲㉦攲づ愸㠰㙤㐲㐲㌵敦㍦戹㑤㠸㌸戹愷攲戶㌰愳搲㈶㘴㥣晦捤扥㉢㘹ㄷ㐲捥㍥搰㜷㜶て㈱攵㑢户㜵㉡㕥昱㉣昸〳㍥搸㠲㕡愹敥搹ㄸ攵㥡㕣㕥㘷愵㙤㕣攱㌱换搹㝤㠸㈶搱戶㘴敦晦㍢㔹㔵㜷挴扢㍦戱〲摢㝦搲㜰㙢戶昰晢㍡〹ち㔷愴㡦㄰攴〹戶ㄱ㙣㈷搸〱愰㝤っ㌳戹㈱㐵㘹摦㤵㔵愵愱㕤戶㙡攱㔲㝡㐹㔸ㄷ㤷㐲昴挱戹挸㘴㐸敥扦挷晦㜷攰㕤㝣㐴㌷㐳扦㠵㘰ㄷ挱慤〰搹㙣㈲㝤ㅢ㥥戰摡晡敤㝣散〶ㄸ㘹ㅥ㝥㠵㐸㌲戳〹㡤㠶晤换ㅦ㍦㜴㘹㜴㜹摡挱ㅤ〹㌴〷㜸㠳㘴戲ㄷ㌵㑥ㅡ挱㔲㐸㐵散㍢挸敤敡㜷㄰摣〹㤰晢ㅡ挰改㤳挲㠶ㅡ摦㉣㑦㐶攳㈹㜴摤ㄳ㤳摣搹攵㤴ㅢ㙥㜵挹昷㕣昸㜵㤳㐶㘸㡣㔷攱ㄶ〴㡡㤱㜶㘶扤㔲㍤㑣㍢㈷㉤㍣㜲捥㔹戱㉣㡣戰〴㌳ㅤづ㌹戳㜰㈹愴ㅤ㥤愹慤㙡㑥攴つ㑣㡡愰慡搳㙤㤸㠱㔹㕡㑤愳〶㍢㥢㜳㘸㘸挴㙡㐸搴〳捥㍣づ㑦㌷搴㌱㘹㔴扥ㄵ搵昸收㤰散㙢扥㥤㡤㕢挰㤰㤷搵㌶㉣㠳戲㈳挲㤴㈰㈹ㄳ戰㑣㠹㘴㉡㠶摤ㅡ㜴㉥戴散愰ㄸ㤳户㌸改挱慤ㄴ搲戳㈵搹搳㘹〸㔸扡㉦戳扡ㄵ㥤㝥挷㕣㜵㌱㐲㡢愵㑣晢㕥㝤㤹扥挷捤挲㐳㕣〹晤㉥㠰㔷晥昹挶㈳㝢㕦㝥昳㡢昸㜹ㄵ㉡㈴㡢㑥搷㐴愷扣戳㠹㠷㉣晡㍤㜸㘴晢㡤㘹昴㔸㝡㕡摡つ㕣㈴慡㜴捥挱㙥ㄷ㝣㈱㝤扥㡣㙣㌴㤶挵㤰㜳挱昳㉦㉤㝡摥㈵㌲㝦㔸戶㠲㈵㈱㐲㍡㔲㠳戱摦挸扡愲㈸挹㘴㠷㝦搴收㜱搱〵㑢敦〵ㄸㅡ户敤㐲ㄳ㘳㤰扥ㄷ㕤㐹扡㜴晢㔰戹愳攴㉤㌷ち㥥㔹ㄸ㜷㡣攷㍤户㉣㤶挳㠳〷挶㡥ㄶ㔷敤㘰㔵昹ㄳ〸㐰て㑣昹攴ㄷ晦晥捦捦づ㤵㝥㍤㜱攵扤昰挷㙥㐱昹㈰ㅥ攸昶愹㌴㕡愸㙥ㄹ㤱㙥㘲敢戴㘹㍢挷㘸㝢搲收㌹搷ち㠳㐱㜳扣ㅥ㝡㔳㔶㌸ㄹ㠴㌹ㄳ〰㔵昹捡㙥㘹㤸摢㕥ㅡ㌵捦㕢攲昲〲愸㜴昷晡㈱㜸搰愵㝡㄰㝡㔲晣敦㕡㍦㍥改㥤昶挲㐹㉢㔸戶㡤挶㥥ㅥ挳搱挸㠵㈵攱挲㔳昰攱㌰㕣㙦㤲户扣㉣㙡㍤搶㔸昶敡㝥㔵捣㑣㙥〵㕦㐳㠹昴㌸〱㔱㠱ㄶ㉢㝢㌷㍥㕢摢攸㑥攱㔴㈱㕥捡㈶㡦㉡㜹㕥攸愳挰㠲挰㔵挱ㄱ愲敦㐷ㄵ㈷㠹挶昳慢扦㠸戴㜹㉦戴戴㔹ㄳ㙣㡤晡㠶㘲昷㜸挶つ慣㥡挸挶慤㔳㤶㍢ㅣ㔷攷敡㘱挷㠸戱扡㈳ㅥ㠱づ捣戹㘰㝤搵昰㙢㕢㠱㉢搸ㄸ㑡挴ㄲ㈵㡤摦收〸ㅤ愱㐹㈴㍥㙤㘶ㅣ㍥扤ち㌳昵㉤㜴㤳搶㜴ㄳ㝡㥡愴㤶㍡愲搲收晣㔱㝤㠷㐸敥㔶㜷㠶慤㔳挲㜰㈵ㄷ捡㘱㙤㔲慣っ换ㄹ〲〲㡥挰搵ㄶ㍢㍡㥢昲㘴搲捤昱挵挰戳敢愱ㄸ㙥搵愴愲敢收㔹㘱ㅢ㜴攴㜳慤摡㝣㌵㐴愸搳挲㐷㈷㝤敢㜰〸ㄴ㐹挵㕣㔲㈴㥦搲㝤㠴户㜳ㄳ搴愱㑤㜲ㄵ㘷慥㈹换㈷㡦㉡㍦㝤㤱攵昵㐷ㄳ捤㑡㤶㈵愱搱挱戸㜱㑦㥤㥡戴愳ㄹ㐰㐶ㄶ㑥ㅡ慦㕣戳㡦㑥昲㤰㈹敤ㅥ㈲㘱收㉣㐶愸㍡㌶ㄲ㑡愱㔵㌵㙣扢㌱㙣捥戸㔵扢㕥ㄳ戳挶愲戰㥢㌶摢昳ㄱ挲㙦〹㝥挹㕣㕢挴慢㍥㜴㠹挳㤷ㄹ㈴摣㥡㜱挱愶捤㕣㐲㉦㠲慣搲㔹〰㡥慣㝥〰㉤戲㠶㑥昹㤷づ㡢攸㜷㙣㕦ぢ敡㘵㉡〸愶㙤㕤ㄷ㙤ㅡ㕤挴㔶㘴㈵㌵慥㙤摡慣㌷敢㈱敡慤戵㜵㥤戴愲慥㉤挱㈷散㌳㌲㝣改㜴㝡戳〷っ㜱搰敡挵捦慢昱昳㔱搲㥦ㅣ㘰〴搳敤㕣戶㌹㈲昲散㤷㐶㤰挷搱〸㉤㔸攴㌸㉣㔸愱㉤〶㑤㌹㉥敢ㄹ慡〴愹㌹㘰㉥㉣挱㔱㥢ㅣ㌲愷㝤慢㘶㕢慥愰ㄳ㠲㉣っ搳㙦戳攲㈲昲〵昳㕥㘰㌱扢㍢㘴㉥昸㠶ㅢ㉣搳ㅦ慦㌶戶㜷戴㈴戳㌴㜳挲㜲愱㐰搱㌷㔹ㅦ㌱换㑢摥㘵㈴㠸敢㡥㍢㙤㉣〷㕢㠲㔱㡣〵愳ㄲ㘹㤵慡愸慡㤲㔱㌳㥢㍤慢愴晢㑣㠷㈰㜱㄰㘸㔵㠲㤸㕤㡣㌵晢攸㉣㌹ㄵ㘷㙣愸戳㕣㔷㐷愲戵㘷戸搸捡戰搳づ敢晣㔸敥㄰挰㘳搳攷㘶搶昲㝣㕦㈹㑤慥㌱㍡敥㜳ㅣ㐸搱㘸㈵ㄵ㈸㤲挳㤱戸戰㡦搲愳㑢慥戳搵㉤㠲㔹㔳捥愱㌴攲〴攵㜴㔶愷㄰敥攵愰晣㌰扦〸㤳㘱㜷㠷愳〶㕤㍡挷戰㠳㜸慣攴㌹㡥㐱昱愲㘸㤶㘱扢㐵㐶晡搷戰㈶扡〹㈰㘵㌰敥㌲㔶搱㘵慣捡㉥ㅣ挹㑣ㄴ捡㍡㜱㜹ㄷつ摦ち㤷ㅣ慢㥡㘱㠳挹扣㉤㈱㤷㄰㈱ㄹ㥡㠲愰㉣㔲㌸攱慣㜶㠷攴㔱ㄴ〹㜶ㄷㄱ㍦㤰㜴㘴㍦愴㔷㤵攷戸戲挹㉣っ挴㔷ㅡ㝣晤㌰戰㘹昲㐲㠶挱㌱㑢㥢ㄳ㠶ㅥ㘹㠸ㄴ㈶㑣㌸慣㍦ㄸ㔷搸㐸㌱㍦搱㌷㌰㘶昰㤶㥤昵㡣摡ㄴ昲扤㥥㍦㄰㕦敢㘴挰㕡㥡ㄵ㍦捦㘴㐸〹㤹㐴㘴㈸㔷攰ぢ晢ㄹ㜶㤴㤱㘶㐸㌱㡤㤲㡥㜸㐸摡㈴㌴㙤㌰搳敢㕢㌳㑤㕣㝢攲愰戱晤㝡㙡㘶ㅤ晥㡦捦ㅣ㠵㜵攵戶㜸㍦愲ㅦ㈱㌸ち愰㌰捤挲晤㜴㑤㜸㠸ㄳㅥ〶搰ㄸ㙤㜷㙢挹㠶㠹〳㈲搷ㅣ㈶㌴㌲づ户〳㤷㈳㡤㌴〷ㄲ㈳㈰㐹㝡㌰挳挴㠲晥〸挰ㅦ慦㕤㍢㠶㐷㐲戹〷愰昹㝤慡㝡㌶㑢攲改摦㈱攰っ㡤㔱挸㡤㐵㍤㝣㌱摦ㄶ㡡㔲㐷㠳㙤收㤹扡㘱攳㠶㘶づ晥㔰挸慥慤愰〴愹挸㉢敤扥㘹攸扣戸㐱㐰㈷户昰搴搳捣㝢㜴搳愰㜳㙥扣户㠰㌳㌷攷戵㘶戵摦㈳㉦㜰㘳㕦愱ㄶっ慣㌰㠹㔵愹㈰戹㠳ㄶㄹ㥦搵㈹㘲㌸扦ㄵ㐶㡢㔲㙤㡥愳搲㉣ち攳㥡㜵扤ㅡ㝤戰㍥㠷㐷㤷挳挷昷㜷慣㠹㍡㡤摡愸捤㝢搸㕥㍡搲㜹㠶㡣昳昳昴昱搶慤㐱攱昱㈲㝢㑢㜱㐵捡㌱㑤挴㜵慤ㄲ㑤ㄹ㐲㔹搸愷㜲搸戰㜱㈶戰捡挴㑦㔴愳ㄲ㐴挳㔸戴攷挳挹㑤㜵愷㝡㕢敦㌲愳㌲戸戳㉢戵㉥㕦攳〸捤㥦昶㌶㔸戴攱晢摣挱ㅡ㔷昸づ㑢晡〴挰捥㔳㔶搵昷〲捦っぢ㘵昸㌶〵㕥戶㤸昰㜲挷戵户㠰戱攷㌷戹戱㤴换换㑣挹攸散㈵搷扢散捡搵㘸〱敦㥣㈴扤〶〶昸ㄹ晡扥戲㝣〳㔴捣搳㔴昲㘵㝤ㅡ㘰㈸㤹愷慤㘱挹搳摥戰攴㘹㕣㔸昲㌴㌰㉣㈳㌴〹挴㐲㔱扡愹㈵㑦㐳㐲㙥愶㑦〲っ㤷㈶㉡㙤摥㐸㝡〶㝤㌹昴㐹㝢㝢ㄶ㜷㌵改挷搰戳つ㍤㥤户扢㜹㕡㈲㘲㔹扢〳搵㑦愱愹㔰攰㈵㈱㑥挷ㄳ㌸㈹㝦ㅣ㠰㐵ㄹ㈷挰㕦㍦づ挰挲㐶扥〴㈰〹㌴㡦捡㔰㔲㈳㥤ㅥ搹㌸慦搳戶攰㔱㘸㐳挷捤搶〹摣㔴㌵㜸㡡㈵㜱㙥㘸㜲ㅢ㈹昵攱捤攱愲慤愱〵㤶晦㌷㈱ㄶ㕦〱て昷戹㈶㡡挴㜸㌷晥晡㔹〰㠵㠴㘳戶㔵摦㑢㜰㉦挱㍥〰攵つ㝣戲㘷扥昲昵㜸愰㍢㕦㤹㈷搱㈵㈱㥦㈰㤲㈷〹扥〷㤰搵㐸搸晢㌷愶㐲攴㔹慤摤㠳㌲㜱愲㤹㔴摡㐱㌳扡㠶㈴㉤㘴㠲捡㤶ㄲ㥦㠳㤳攵攳㈶㜲ㄶ㜱〳㕣㉢摣慤挷昲㠱㜸㠲㠷㕤昳ㄸ搷㘵㡢㉦愷捤㌹ㅦ攷晡㠰㌹ㄳ㈰㍡愹㘵㤰摥て㜱㌳散㙥㠵挳〷㌶㈸㐵㤹㠱搴㌰愷愸昶㔴㝦敡㜵昷戱摦ㄶ㠲慤搱愳ㄹ㠶慢昴捤㌶㜷昴愴㥦挲挷搶慥愴愴扤〹㔴攵㤷攰㍢捤㔳昶ㅦ〷㙦晦㠲换㠵晦㤷搰㥦挶㐳㑡㡤㈲昷㠰散愴㕥㘱ㄷ㜳㤶ㄲ㈴㌴㡡㔹昷愶㘸㠸愷昸㐶搷㐵摡攰㈰㜷扡昰攲㕢挷晦㝢攸改㜱㠵㤲㐴㝤㔴㕥挱㠷愹〴戴ㅦㄹ㌵慤㔰扡攴挰捦攳〱㥡㠴っ晣㔶㑡㥣ㅣ㜸㌹ㅥ愰㑤搰㙢〰ㅡ㤷㝡挳㌴愴捡㙣昲㘴ㄳ㜸㔵㈱ㄱ愴慤㠱㕤㤷ㄵ㌶㐶戸㡥ぢ昸慢慢㑡昵㤹摡㌳捦㝣㌶㤲㉡散㑥㍤㜱㍣昷攲㕦摥晢昰㠵昷扦㝦散慦㥦扦昴搲晢ㅦ扤㜰敤昳户ㄷ㡦晤攱戵搷摥㜹散㤵㙢ㅦ㙥㌷㕦㔵㝦昵搹散慢㔷挶㉥㕤㜹捥㍣㜷晦昴㤵㈷㥦㍤㌳㌶扦㙤㌴㤹ㅣㄸ搸户攳摤摢敥换晦昰戹摦㈸扦晢昳慤慥㈲扦㡤て戴㑣ㅣ敡昰挲〰愴㘶㉥愱㌲㤴㔴昸㤰㐴晡㐹㑣愴〹㜴㘴㤴挴攰晦〰〶㤵㜳晥</t>
  </si>
  <si>
    <t>Decisioneering:7.0.0.0</t>
  </si>
  <si>
    <t>㜸〱敤㕣㕢㙣ㅣ㔷ㄹ摥㌳摥㕤敦慣敤搸㡤搳愶㈹愵㌵㤴戶㔰〷㌷㑥ㅢ㑡㠱㄰㝣㘹ㄲ户㑥散挶㑥㑡㔵搰㘶扣㝢㈶㥥㘶㘷挶㥤㤹㜵攲㔲愹〵捡㑤摣㈴㙥愲㔰㉥慡㄰ㄲ㉦㕣㕥捡昵〵〹〹㠴ち攲〱ㅥ㤰㜸㈸ㄵ㠲〷㄰㡡挴ぢて㐸昰㝤㘷㘶㜶㘷㜶扤㘳㜷摢㠲㡢㝣搲晤㝤收摣收㥣昳㕦捦晦㥦㘹㑥攴㜲戹㝦㈳昱㉦㔳㥥㤹敢㤷㌶晣㐰摡ㄳ㌳㙥扤㉥慢㠱攵㍡晥挴㤴攷ㄹㅢ昳㤶ㅦ昴愱㐱戱㘲愱摥㉦㔴㝣敢㔱㔹慡慣㑢捦㐷愳㐲㉥㔷㉡改ㅡ敡㌹〸㝦㈳昱㠳捥㕥㠳㜹㠰攵㤹改㠵㤵㠷㌱敡㔲攰㝡昲攰搸戹戰敦搱挹挹㠹挹㠹㍢敦㥡㝣换挴愱㠳㘳㌳㡤㝡搰昰攴㔱㐷㌶〲捦愸ㅦㅣ㕢㙣慣搴慤敡㝤㜲㘳搹扤㈸㥤愳㜲攵搰ㅤ㉢挶㥤㙦㥤扣昳挸ㄱ昳敥扢摦㍡㠸㔷攷㑥捦㑣㉦㝡搲昴㕦愶㌱ぢ㥣昲㥤戳戲㙡㜱㙤㔲㝡㤶㜳㘱㘲㘶ㅡ晦㈵收㡦愷扢㈶㤶㔶愵っ昸㙡改㐹愷㉡㝤ㅤㅤ〷散㈹摦㙦搸㙢摣㍣摤㍥㡥愵㔶つ㍦㈸搸㌳戲㕥搷敤㜸搴㤲扤㠰扤慢ㅢㅢ㠳昶㤲㜴㝣㉢戰搶慤㘰愳㘸㉦㘳愰摡㤰㝤搶㤷㘷っ攷㠲㍣㙤搸戲㘰㥦㘸㔸戵㝣㤸㜲㝤户挶㐳㈴㈷愶㤶㍦㌱攵摢㌳慢㠶愷㘶攴㜳㘳㌲摡ㅥ昷慡改戶㌷㜵ㅦ㤷㔳㔷㙦攰㤸㌷㜷㙦㠷㥡㜳㠶搷㙣㌹摥扤㘵戴昸昴っ㙥敦摥㍥戱㐷改㍥㙦敡摥㐷㙤㘵扡戵ㄸ㠸攸㕢敤㈸ㄶ愳ㄷ〹晡〹㑡〴㐴愰㕥㈶ㄸ㈰ㄸ〴㄰昹㝦㠰㑢㤲ㅤ㔹愵㔵っ慤戲愲㔵慡㕡愵愶㔵愴㔶㌱戵捡〵慤戲慡㔵㉣慤昲戰㔶戹㠸㌶㜱㉡昵昷㙢㔱摡晦敢㍦っ㕦㥣㕢㤸㝢晦㝤ㅦ㍥晤捥㠷ㅥ晢晤攰ㅥ㌴扡㍦㥡搴慣㘷㕣〲愹戵愸昸昰挴㈱晥摢㥡㉢挰ㄴ收ㄱ昳㉥㜳㜲戲㜶攴㤰㜱㠷㔱攰戲㌲㤰㥦㈲㤴ㄱ戴ㅤ㌴ㅦ戰㥣㥡㝢㐹攱敥晡㘹挳㤷慤㡤ㅢ㡦敡愶摤㠶㔳昳㕦戳㜹攵㔲㘰〴昲扡昶扡搶㈰ㅤ摤㤶挰㔶搲㔷敦扢愱扤摢㌹愳摥㤰㔳㤷慤戰晡戵㙤搵昶愲攷慥㜴慦㍤敥挹㐷㥡戵ㅤ㌳㥡㠲㔰㕢㔷㘳㜷慣㌲慣ち攷㌵㌶戳敡晡搲㔱搳ㅢ户ㄷ慤敡㐵改㉤㐹㡡㐴㔹㔳㑢扤㥡㔵ㄱ搷㡦㉦㌸㔸㈸戸戵昶晡㘴愹㜹捦攵〰捣㉣㙢㤸敦㥡昴㠲㡤㘵㘳愵㉥慦㐹㌵〹摦㠹㡡〳愹攲攳㙥戵攱捦戸㑥攰戹昵㜴捤㔴㙤摤㠰愴愹㥤㜲㙢㌲㥦捦㈹愱〰㠱摢搷㈷㐴敥戶敥扣愰㄰㤱㐰㌱ㄹ昹摡㌴搹㑤㥣挱敡戰㡡扡㈴㑤㙡㙦搸㘲㌰捥㔷挹㤸っづ㑣慣㠹晡㠳㉦㝤攳ㄶ挳㌶㌱昷捡㌶搶戴搱㘸昵昷慣㑢㈷㌸㘹㌸戵扡昴㌲戵㥦攰㡣昴㘱㠰挲ㄵ〸㠴慥扢㐷㔵㈷㉥㡢㡤挲㈵慢ㄶ慣ㄶ㔷愵㜵㘱㌵㐰ㄹ㌴㘴愹挴慤敤㐸晡㔵㈸搲昷ㄲ㡣〲㤴换戹攲㍥㌶㉡㤶㤱㜲〵㑡愷っ㕥㑥〹㜲昶㑢昱昲愰㜹摣慡〷㌲ㄴ捡挳㈶㌰ㄲ㙡㌵㠵扥㈱㤲愸㘷㔴㐳㠵戱捦㥣〱㤵ㅡ㤶ㄳ㙣戴昸戶㠳㑢㐲㈲摡㤵〵㍢㑥ㄶ㔰ㄴ愴攵㐱〶慦㠱㘸摡愴㐱㜶攳〴ㄱ㤱つ㌲㌴㍢㐶㑥ㄳㄹ摢㘷挸〸戴㑦ㄲ㈱㕢ㅦ敡㉥㈳㐸散㥤㐴捡㑥㕤昹㜱㔷㥡㙤㘶换㠷搲散㙡㙣㥣㝥つ挱㝥㠲㙢〹づ〰㠸㍦㐳挲㔱捡㈱㥦㑥晡㙢昰慣㕦㑦昰㕡〰挸㈷㥤㌲㈷ㄲ㔵戴愱戶㘳㐷戲摤㄰散㘴㘵ㄴ㠷愲㠸㤶㜱搳捥ㅣ戲ㄵ愲㈳慢㜳㘷攸摡扣搲戱户㜴愷捤攴㜲㐸㤱ㄹ㑤㤳㙢摤愲㘹㜲㈳搸戴㐷扤㜵㈳扡敡㘳〴慦〳㈸敢慦㈷㠴㜲愱挱扢㍤㡢㥥㈶攵慢挲㉣ち㡤愱ㅥㄵ㝣㐴挸㍣〲㘴〸戹㡥攳换慥つ㑤㜳㜰摣㝣搵摢搰〷扢昳㜷㠴昴㌶扤戹慢㜷攸㉦㝡㤱㔶昴㑤㘰㉦昱㠷慥㍡收㘶㔴敢户㄰摣ち搰愶㘳㜸晡㝥戱㥥〲㘵ㄶ摢〹捣敤愵搷㐵㔹戹换ㅢ㙢㔲㘹愰㐱㜳搹昰㉥挸〰ㅥ㡣戹㔹搸挲慥攷挹㍡づ戵㌵㔵挰昳换晥㜴愱㝦摣㜳㙤㤶敦摡挸晥慢㐲㌱攴昳㕡㕦慥捤㐶捥戰㌵ㄳ㍥愷〴攵㔰〷摦搱㕤㐸㈴㍡愵挹㡢晤戲捦㤷扢㤲愴〷㐹昲㈶㙣慢㝥ㅢ〰愴㠴昸㕤㔷㠹㜲㤰捤摥慣㥡愵㉤㔶㝡昸㌲㑥㈷㙤㍥挴づ㌹㌲㄰㍡㙣愷攱㍦昰㠷散㈵换㙥ち㡢〱㝢㔱㝡㔵昸ㄶ慣扡㉣㠷㙥㔹㡡㥡㕤㔹昱㉡㤱ㄵ㝤㝤ㅤ攷改っ晦㥡愲㤳㌶㈹㤱挹敤㤹㤵ㄹ㘷昱ㄶ㔱搱つ㐹愱㤲攱ㅡ㙡㑡㈰㔲ㅥ摢敥㡡㤸ㅥ㐴捣敤搸㌸晤㄰挱㈴挱㘱㠰挲慦㈰㘹戶扢昱っ㠷昵慦搳愵㕤愹攴㑡㐴㠳㜲ㄱ㍥搷㔵㔸ㅤ攱㙢摥㐲㜰ㄷ㐰㥢昹㐳〷㘴〶㈱㉡㤴㈷〸㔱㠵㌱捣㜳㤶扣㐴ㅡ搸㘳㈲戰㌴搳昰〳搷㘶㘴㘹挸㥣㜵㑦扢挱慣攵慦㈱ㄲ㌵㙡㐶㤹〷㔶愵〳敡昲㘰晢戴㤵戹㙢㙢戲愶㥢㑢㙥〳愲㙤㙥㜶㈷ㅣ捣戱ㅤ戰㈵搵搹㕣ㄳ㐸扤㥤㡦㌱㠴挰㑥㉢㝦㉢扤戱摢昲㝥昳搰㌷摣摡搱㘵㉢愸换〱㌳㘴㍡收㑢㈶㜶ㄱ㤱㠳㕡扦戹扣敡㐹㌹㍢㘴㥥昰慣㕡摤㜲㈴㤱〱ㅢ㤳挱扡㜹㜹〱㔱㠲㐵㤷㌱㐰搷ㄹ㌲㤷㍤挳昱搷っ〶ㄴ㌷昶愶㥥㔴㔸愴㘰㑥㕢㡥㡦搷㈸㉣㌲㍦㙣㉥慤扡㤷㄰戱㙤搸捥〹㘳捤摦ㄱ㔸㈱搱㠷㐹愱㐶㘸㐲搳㐴㐹㉢昵㡡ㅦㅥ挸㜳㌹昲㕥㥥㐰攱㉡㔷愰捦㍣㐳㝢搳慥㡦㘲㌴戴搳㌹愷㐱㐴㡦㥡㠵㝤㤹㔲㤸㥣慡摦捤㍥㙦〳戸昷挴搹戹㔶㘴敥㈵挵慣ぢ昴昲㘷挸㜸㐵ㄶ捤㐰〸㝤㜴㝢㐲㔲㘱ㄹ㈹〷ㅣ〸㡣昳愹㥤晣捡愶㙡㐳敡摢搳捡ㅥ㐷㈴㘹搰㥣㌷㔶㘴ㅤ昱㘸摢〸昶㠴て㌴㘳㙤愳敥㐷㜵㌳慥㙤ㅢ㈴㉤㤲攵㔲搵㈰〵㑦㌵〲昷㤴攵攸㈶㠰愲扦愸挸戸㡣㈲攳戲㉡ㅡ㌴捦㌰㌴愸昲ㅣ换扤㘰㜸㔶戰㙡㕢搵ㄲㅦㄸ扥摢ㄱ㌴〹㈶愷攴㡤㔳㉣㌳挶摡慣昹戳㌰搹晣〹愰㝢〲㜲㤴㕢㐷昴㠳㜲㌵㔱挴㍦搱愳㘳〹〲㐶㜹㑡昵㜷㘰戴㠲扡ㅤ〱㤱愳搲㤵昸づ挶㤵挷㔱ㄲち㈱㘲㍤㠳㐴攰ㄵ㑣〸㜹扡戸㡢收㔹挷ち㠰㍤㘲散戸ㄵ捣晡㐰㌹〰戲敡㜸㝢㥤挲㙡愲搳㜸㔳㉢摣搸㔹㤵㔲ㄳ㌷㜴搶㈷昵挶ㅢ㌶愹づ㌵㑡㐲㤱㙣搵㐸㘹㤶㑤收戸㤳㔴㡤㔰㡡㍢搶㌶㈲换㙤摡摡㜷㑡㤱㤷愰㤸ㄴ捤攴昴㜷㉡㐲㐱愰㌷搲㔱昴搹㘷㤳㐷㈲㘲㐳ㅢ愰㑣㍤ㄵ㤶つ㐵㈱挱㌹㕣㍢愹挹㜲昴〴晥摥ㄳ㘵ㄷㅡ㐱慡挶戸㍣ㅡ搵㑣搵敢ぢづ慣㠴慡攱搵㜶〸㑢㘳㙤愱㠶㔱摣搹慢昶て户㌷挱㠸ㄱㅢ㌲㉣㤲攱〷〶ㅢ㠲戹ㄲㄱ㔵㕡㘷㐳摣敡㘶㜱㠹㑦愷愴攱㈸っ㉣〵戵㔹戹慥捣戰㤶㈵㍦慡㍡㌴㑦㡢㑡㡥敡收搴㡡て㤵ㅥ㔰㡥㐷㌹挵攰扡㜹㠶㙥㈹㕣㘲㠰搸㡤㜲㡢搵〰愱摤收〰㍣ㄹ散ㅣ散㘰㐷挲搰〹慤㌳㑡搰㘲〶攱愶ㄷ㐱摥改ㄱ愳㄰愴愶㑡㝦㍦㈶扥昴ㄴ搳户㡥攵攲㑣挴㐴っ㜷㘵㔸て㐰㙥㌲㌲㐹㉥ㅡ㡤〳收愱㘴㔳㐲㙢㌰㉥愳㠹㌱㐴㤳捦ぢ㜰㡢㠷戱慣㘱戲㑤ㅤ昷摣〲ぢ摡戴扥戱挷㥣㜳慡昵㐶㑤㉡㔵ㅣ换㙡愵㤱㜷〴扥搴ㄵ挰㤰㥢㌲昶㈵摡㤴㌹ㅣ愵戸㘴㈲愹㜷扢㕢㍦㠶敥㑡挸㘱㡣㔰昵㌱〰㤹攱㤶㔳〱戱㡥㝢ち戴て昷戶㉥㌰愸换㜳㄰㘹ㅤ㐵㤴㘵昳戸㡦搷㡣㈲㉢㙥㑢㌴㥢㜷攷㕤摡散㠹愲㤳㔶㔸戴㈳㜰㠴㜵㠶〲慦㔸㠴㌱搲㈳㜷㜰㤰摣㤵㈸扡㝢攵㜱昵㤸扢〲㔴㈸っ〸挶㜸㜹ち捡㘱㔷挱㐸㌴戸戵㤶搵㉤ㄸ晤愵攵慤㑦〱〸㠶㠱㘹搰愲㘵㘸攰捣㈰扦戵㠱㜳㈳㕡㘵㐴㐸㤳挱㔴挶㈸㐷攱戰〷搲挰㑤㍣㐸㉦扢㔰㐲挱㍥㜵㌱㉣扥㥢㌸㙥攳〸攴㝡搷戴ㄵ㉥ㅡ〱慥扦㌸〷摡㡡愷㙡㌵㥡扢昰捦敤〸慣攲敡㐶㘸㡥敥㙢扢㤴愵搶㐴晢敥愶戶㡡攸戲攰攱搹㠹㤳㐶㔰㕤㕤ち㌶挲㡢㕢扤㤲㐴攱㈷昰㐷㙣晡㜶摡捣㜹㠷ㄷ㔱搷戹昷攵㡢㡥㝢挹㔱昳㉡昸扣昵〷ち挱ㄵ捡㝥㑥戲㥣晢㌷晥愹愴攵ち㍦挶㠸摢㤹㌶〷㘸㌹㐸㌸㡥㑡愱㌴ㄸ㐳㍥㠳㑥㘰扢㌷㙦つ㤰㑥昶戵搱㠹ㄲ〴扢㠴攲㕣㜸搹〸㐵晣〸㘸㈵戱㠴㐷㜲散昹㌷挱晡攲㠷㈸㈱挲昱ㅣ㠹㤱挲敢㤰换㐰㥤ㄲ攴搱ㄵて㕥〸昹晦挱㔲捣捤㥢戲搳㝦㠱㤹挵て摡㔱㜴〳㔱昴晤づㄴ〹㕥〳㔱晣㝢㉦㌲㜱㉡㌰㍣晢愲〲攱㕣搳敥〱昴ㄵ扦昰晢㍦㍣㠰捥㐷挴愱㙣㌴㠴摡㙥挶㜳搳㐴攸敢㌰ㄱㄸ扣㔷㈶挲㈹㘴〴愳昸愱㠹㄰昹㐰ㄶ㔰戰戵㠹挰搸㕥㠶㈱㤸〸戵㈶摣ㅡ㍣㠱㕤㘳搳㍦㜶ㄲㄷ㙦愵㡦㜸㍥㤴㤶㍦〳㡦搴晥捥攲㐵挳㌳散〳慡晣㠴㈷愱捣扣㘵摣攴㔶㕤搸攳扡㑤㙢㔴愷㑤㝣ㄵ戱㤷㝤搷㥦戲扤晢敢挰㔴㤸㐲昷扤㈸㠹攲㑢昰㤴〸㥥ㅢ㜲敦摢昷敤ㄳ㝦㝣昴挹㘳扣慤ㄶ搱㙡攱㌶攴㝢〹搹搳㥥㐰㔰㌷㜱㔱攴㙡㝥㤸㜳ち㥦㈸㔹㙢㜵㌹㙤㜸捡ち昲㜵㍢捥㠶㠴㤷㈰捣㤰昸㜶㠲㠹㠹㝢て愱㠹㌹搱收敥㔴ㅦ㌶㈹ㄷ攱㐴㘲攲捡愷ㄷ㠷つ㐵㔷㐵搶愳戵㔹昸㉥㔴搱㡢㥣㐸摡㑡攴愹㤳㐹㠸敦戴敢扡㈳搴㜵攱㐱㠶㘱晦㔸㑡㈱晥㐰ち㐹ㅥ㘴㜸㈱㐰㐹愹㌳挸ㄴ㙥〷挸㠸慣戵㠷㜸改て搸ㄵ〲戲㜹改慦挷㡦㔸戰㡢挰㘲散㡢敦昵㐴㑢㕢㌴㔶㑤っ搵㉡㥢㘶〹ㄹ㜵㜸㘱挱㘴㕣㥡戲㜴づ愳㜴摢敥㈸扥㘴挸づ〳㙦㈱㘳ㄷ㙣晡摡捡昶㍤㑥〳㌷㍦愰㘷㡡㑡㘱㌸㝢㔹㡣〳愹㡡搱㠵㑤换㘱ㄱ攱㜰㤸㙤㜶ㅡ㠸慡愰戳㥣〳㌸㤵㈲昸挷㉦㠵㔸㍦摥ㅡ晡敡昶ㅡ敡㌸愷ㅦぢ攴て昶搷つㄹ㡣㡤户㤲㘳㈰㘱户搵慡ㄴ㕥て㍦㡢㉥㕣㜴㑥攸慤慣㝡ㄶ㐷昰㈷收慣㍥慤㐳晦㌳㝡慤㌸敢ㅣ㝢㌳㡣㥤搲晦敦㐶挱㤶晡㕦㌰昶愶㄰昹㘰㤴攱㐳㠱昱㤳㉤㐳㌶摣ㄱ㜸戶ㄱ扣㔱〷㘳㕤㘵ㄹ昲づ㜳㑢昸㜸㌵慣㔶ㄲㅣ㝥慦㝣晢搵㠸㘶㕦摡戶〳㕤〵㈰㘳㐳㠵㙦㐲〴㜵敤㥦㤶㕢昱改戶昸㄰㍡敥㍢㘵㔵㍤搷㜷捤㘰㙣〹㐱摦㌱㝥㝢㘶挲收㤹ㄲ摦㘸ㄷ㙡㌷㘱㈷〶摦㡢㍥愷ㄷ㈰戰㑦换攰攵㡡㐵㌲戲戰扤㐸〶扦㐳ㅡ㐹㠴㤷愸ㅤ晣慢捣晢ㅢ㐶ㅤ㥦慥㉥挰搷ㄹ戰㘸㐷㈸扢搰攳摣㝥㐳㠳㕢㠷㍢㕡昷挱ㅦ㈴敢ㄳ〸㡥愹㈵㍣昴㕥敥㙢晢ㅥ愴摢㐶㙢昳搹戲㌷㥦㕢戹昰っ㜰扡扤户愴㐹㠶敦攴ㄷ挹㘵扤㐲㠸㑢晢挷昰㜷晢づ㕡㡥㌶ち㍡㡦㍥攸愶㈳㙣扣づ昷搹㌶愲摦攷搱㔵㑣ㄱ攰愷ㅢ㔱㠶て㠲㕥㍥戲愲昸㉡㤶㐵〶㐰㍥㔷慣〲㜴愷敡愷㌷愳敡㤱㔸㈰ぢ㥥㌱㐸㡥㘵昱㘵㌴攴㜶㠵换〶㑢㜰搹㐲㥤㈵㤰搷攳ㅥ挸攷〴捦ㄲ㙡㈲㕦㐴㠷收㐴㉣㤴㜶㥦挸ㄷ㌶㥢㠸愰ㄵ愰ㄶ㥡ㅣ㝦㈴搶㈲㝡ㅤ搵扡㑤攰㄰戸〰挳ㄴ㡢㤴㌵挵㌰戴昰㐳㘲〶改㌷搱摦攷㡦晤敡㌹愶扦ㅤㄳ㑡㄰愲㉡㍤㜹ち㐲㌵昹㑦㈷㈷敦愱戴晢攴㍦戹搹攴㐷㈸㈳㌹ㄳ㍤〰ㄸ敡ㄳㄵ晣㔱㡢㘹㈰挳㝤攴㑦㥣㈷挰㉦㌵㡢ㄱ〳㈵慡敦㈵㘴搰㤷ㅢ慥㕡㕤㐶㈶敥㕢攰晡㌳㍥敥㔱昶ㄱ㉦㐲搲㤷㔳っ㥤戱挵㔰㉢㤶散挸ぢ扢㈳㘴〳㤶挴慦㘵扢㡡昴㘲㡦ㄱ㝥昱㤱ㄸ㌱㈷㑦挶㕦㑥㘹㔱捣〹㠴ㄱ㕡愴愴ㅦ㙥愴昸㜰摣昸㝢捦戶㕣愶愸㐰〲昵㠴㡤㐹㘷慡昱㠷攲挶㠷昱㔵㤶㙡㤳攳つ〲愶攷攳挶愴㐷搵昸挹戸昱㕦てㅦ㘸㌶㡥改㌰ㅣ戹㐰㈲挹戰㜵㤵昵㥦昸㐲㝢ㄸ捤ぢ㈶昵攷㠰ㄹㄶ㔳㜲慡搰㜱㕤㘹搰㐱㕣〶昱昰㡤昴㍣敥㌶攱ち〸㠴㙣昸扦㑡㤸挳㥤愷㔹㈳㌰昰〹昴㍡㠲捤㥥慥㥥搸戹㘸㉥㜸㈸攸㌷攷㝣㥣愹㙡㍢㡡㐴㘰づ攴挳晤摤挲㈹㥦㘱㍡戶昶㈳づ㤲㘹扣㐳搲㥢昲㔰㠱㤵扣昸㐰㡣搹摣ㄳ㉤㥡搱ㅦ〷㜲㈰ㅤ〱㤹搱㥦〰っ〳㌱扣慤㥣ㅢ㈱晦㉢收晥〰㉢㍥㐸昰㈴㐰㔹㤰搹㐹〷挵て〱っ挷晦愳㡡戱㜵攵㉦搱挴愳昱换㤲㘴愴㝦㠴ㅤ㍥ち搰〷昷慤㠸㠸戰慣㝦っ㈵挹㤷㔲㜰愸㤷㝥㥣ㄵ㥦㈰昸㈴㐰戹挰挹㙥㝢搷戸愶ㅥ㌵搷愷搰㔵㍣㐱㠰㥦晥改㈸挳㠷〲昷攱敤摤㙤㘵ㅥ㠵攳て晢ㄱ敡㑣㝤挱㝦て扥挸摦攰愲晢昰㍦㈴㈹㈸挳㍥慦扤慤户戱挸〴戴挹搵㙦つ㥢晤ㄲ挶攱扡㕡ㄱㄴ㡥㐸愵㔲搲㡡㠲昸收㠲㠵㡢㌷昰㉤㐷㔵㠵㄰愴〱㔵攱㐴ㄵ挷㔰愰㝦㤶㑤㠹㘳攲㐹晦ㅣ㥦㠸㕡戵㠹㥦㡦㌲㝣㄰挴慢敡晥㜰搴㍤㝥㈱㜱慤㉡慣戶ㄷㄲ晦慡㘲㌵昹挲愷㌸㤸㐲ㄶ㌲㘹慤㐴愴㈹ㅡ晡㌲㌲㐳㝤挳㥣摢〳昸㘹㤷㐵昵㝣敤晣昹㝦づ攷挷慥换扦晢㕤㠳㑦㍤晦换ㄷ㍥昳摢昷ㅣ晤换扦㥥㝥晡户㝦晡捣㜳晦晡挹捡搱㥦㍦昳捣捦敥晤摡㜳㉦散㌵扦慥㍤晢捦昹慦㍦㌶㜹昱戱㐷捣戳户㥤㜸散挱㠷敦㥦㕣扣㙡扣慦慦扦晦搶搱㕦㕣晢挶㤱㈷ㅥ昹㠱昸改敦昷㍢㐲㉤ㄷ㉦㐸㑦㠳换㔶搳昸ち㌲㤸〶㘷晣㡡㑥㠳换㔵ㅢ戵ㄲ㙤搴㌴ち㑡昰㘹㜰〲慡挲㐸㔷っ晣〷㠵扣戱昵</t>
  </si>
  <si>
    <t>㜸〱敤㕣㔹㙣㈴㐷ㄹ㥥㙡捦㡣愷挷昶摡㔹㙦㡥つ㈱㜱〸㈱㄰㉦捥㝡㤳㈵〴㔸ㄶㅦ搹㈳㜸搷捥摡扢〱〱㥡㙤捦㔴慦㍢㍢摤敤㜴昷㜸搷㈱㔲㈲〸㤷㈰㈰㜱㠷㠴㐳ㄱ㐲㠲〷㡥㤷㄰㡥ㄷ㈴㈴慥㈰昱〰て㐸㍣㠴㐳㠰〰愱㐵〸㠹〷㈴昸扥敡敥㤹敥ㄹ㑦摢㤹㈴攰㈰搷㘶㝥㔷搷搵㔵昵㥦昵晦搵挹㠹㕣㉥昷㙦㈴晥㘵捡㌳㜳捤攲扡ㅦ㐸㝢㘲挶慤搷㘵㌵戰㕣挷㥦㤸昲㍣㘳㝤捥昲㠳㍥㌴㈸㔶㉣搴晢㠵㡡㙦摤㉦㑢㤵㌵改昹㘸㔴挸攵㑡㈵㕤㐳㍤〷攱㙦㈴㝥搰搹㙢㌰て戰㌴㌳㍤扦㝣㉦㐶㕤っ㕣㑦敥ㅢ㍢ㄳ昶㍤㌴㌹㌹㌱㌹㜱摢敤㤳慦㤹搸扦㙦㙣愶㔱てㅡ㥥㍣攴挸㐶攰ㄹ昵㝤㘳ぢ㡤攵扡㔵㝤戳㕣㕦㜲捦㑢攷㤰㕣摥㝦敢戲㜱摢㙢㈷㙦㍢㜸搰扣攳㡥搷づ攲搵戹㤳㌳搳ぢ㥥㌴晤攷㘹捣〲愷㝣摢慣慣㕡㕣㥢㤴㥥攵㥣㥢㤸㤹挶㝦㠹昹攳改昶㠹挵ㄵ㈹〳扥㕡㝡搲愹㑡㕦㐷挷〱㝢捡昷ㅢ昶㉡㌷㑦户㡦㘰愹㔵挳てち昶㡣慣搷㜵㍢ㅥ戵㘴捦㘳敦敡挶晡愰扤㈸ㅤ摦ち慣㌵㉢㔸㉦摡㑢ㄸ愸㌶㘴㥦昶攵㈹挳㌹㈷㑦ㅡ戶㉣搸㐷ㅢ㔶㉤ㅦ愶㕣摦㑤昱㄰挹㠹愹攵㑦㑣昹昶捣㡡攱愹ㄹ昹摣㤸㡣戶㐷扣㙡扡敤つ摤挷攵搴搵ㅢ㌸收㡤摤摢愱收㡣攱㌵㕢㡥㜷㙦ㄹ㉤㍥㍤㠳㕢扡户㑦散㔱扡捦慢扡昷㔱㕢㤹㙥㉤〶㈲晡㔶㍢㡡挵攸㐵㠲㝥㠲ㄲ〱ㄱ愸㤷〹〶〸〶〱㐴晥敦攰㤲㘴㐷㔶㘹ㄵ㐳慢㉣㙢㤵慡㔶愹㘹ㄵ愹㔵㑣慤㜲㑥慢慣㘸ㄵ㑢慢摣慢㔵捥愳㑤㥣㑡晤晤㕡㤴扥昲㤳㍦晥昶挴㈷晦㌶昷戱㝦扣昳㔳㝦㝡㑣晣㘸㜰ㄷㅡ摤ㅤ㑤㙡搶㌳㉥㠰搴㕡㔴㝣㘰㘲㍦晦㙤捥ㄵ㘰ち昳愰㜹扢㌹㌹㔹㍢戸摦戸搵㈸㜰㔹ㄹ挸㑦ㄱ捡〸摡づ㥡昷㔸㑥捤扤愰㜰㜷捤戴攱换搶挶㡤㐷㜵搳㙥挳愹昹㉦搹戸㜲㌱㌰〲㜹㜵㝢㕤㙢㤰㡥㙥㡢㘰㉢改慢昷㕤摢摥敤㡣㔱㙦挸愹㡢㔶㔸晤搲戶㙡㝢挱㜳㤷扢搷ㅥ昱攴㝤捤摡㡥ㄹ㑤㐱愸慤愹戱㍢㔶ㄹ㔶㠵昳ㅡ㥢㔹㜱㝤改愸改㡤摢ぢ㔶昵扣昴ㄶ㈵㐵愲慣愹愵㕥捥慡㠸敢挷攷ㅤ㉣ㄴ摣㕡㝢㔹戲搴扣昳㘲〰㘶㤶㌵捣㜷㔵㝡挱晡㤲戱㕣㤷㔷愴㥡㠴敦㐴挵摥㔴昱ㄱ户摡昰㘷㕣㈷昰摣㝡扡㘶慡戶㘶㐰搲搴㑥戸㌵㤹捦攷㤴㔰㠰挰敤敢ㄳ㈲㜷㜳㜷㕥㔰㠸㐸愰㤸㡣㝣㔵㥡散㈶㑥㘱㜵㔸㐵㕤㤲㈶戵㤷㙦㌲ㄸ攷慢㘴㑣〶〷㈶搶㐴晤挱㤷扥㜲㤳㘱㥢㤸㝢㘱ㅢ㙢摡㘸戴晡㍢搷愴ㄳㅣ㌳㥣㕡㕤㝡㤹摡㑦㜰㐶晡㌰㐰攱ㄲ〴㐲搷摤愳慡ㄳㄷ挵㝡攱㠲㔵ぢ㔶㡡㉢搲㍡户ㄲ愰っㅡ戲㔴攲搶㜶㈴晤㌲ㄴ改扢〹㐶〱捡攵㕣㜱てㅢㄵ换㐸戹〲愵㔳〶㉦愷〴㌹晢愵㜸㜹搰㍣㘲搵〳ㄹち攵㘱ㄳㄸ〹戵㥡㐲摦㄰㐹搴㌳慡愱挲搸㘳捥㠰㑡つ换〹搶㕢㝣摢挱㈵㈱ㄱ敤挸㠲㙤㈷ぢ㈸ち搲昲㈰㠳搷㐰㌴㙤搲㈰扢㜱㠲㠸挸〶ㄹ㥡ㅤ㈳愷㠹㡣敤㌳㘴〴摡㈷㠹㤰慤昷㜷㤷ㄱ㈴昶㑥㈲㘵愷慥晣戸㈳捤㌶戲攵㐳㘹㜶㌹㌶㑥扦㠲攰㑡㠲慢〸昶〲㠸摦㐳挲㔱捡㈱㥦㑥晡㑢昰慣㕦㐳昰㔲〰挸㈷㥤㌲㈷ㄲ㔵戴愱戶㘲㐷戲摤㄰散㘴㘵ㄴ㠷愲㠸㤶㜱搳捥ㅣ戲ㄵ愲㈳慢㜳㝢攸摡扣搲戱慦攸㑥㥢挹攵㤰㈲㌳㥡㈶搷扡㐹搳攴㐶戰㘹㡦㝡敢㍡㜴搵挷〸慥〷㈸敢㉦㈳㠴㜲愱挱扢㌵㡢㥥㈶攵㡢挲㉣ち㡤愱ㅥㄵ㝣㐴挸㍣〲㘴〸戹㡥攳换㡥つ㑤㜳㜰摣㝣搱摢搰晢扡昳㜷㠴昴㌶扤戹愳㜷攸㉦㝡㤶㔶昴つ㘰㉦昱慢慥㍡收㐶㔴敢慦㈰戸〹愰㑤挷昰昴晤㙣㍤〵捡㉣戶ㄳ㤸摢㑤慦㡢戲㜲㤷搶㔷愵搲㐰㠳收㤲攱㥤㤳〱㍣ㄸ挷㘷㘱ぢ扢㥥㈷敢㌸搴搶㔴〱捦㉦㔷愶ぢ晤㈳㥥㙢戳㝣挷㐶昶㕦ㄴ㡡㈱㥦搷晡㜲㙤㌶㜲㠶慤㤹昰㌹㈵㈸㠷㍡昸搶敥㐲㈲搱㈹㑤㕥散㤷㝤扥摣㤱㈴㍤㐸㤲㔷㘱㕢昵㥢〱㈰㈵挴㉦扡㑡㤴㝤㙣昶㙡搵㉣㙤戱搲挳㤷㜱㍡㘹昳㈱㜶挸㤱㠱搰㘱㍢つ晦㠱㍦㘴㉦㕡㜶㔳㔸っ搸ぢ搲慢挲户㘰搵㘵㌹㜴换㔲搴散挸㡡ㄷ㠹慣攸敢敢㌸㑦㘷昸搷ㄴ㥤戴㐹㠹㑣㙥捦慣捣㌸㡢户㠸㡡㙥㐸ち㤵っ搷㔰㔳〲㤱昲搸㜶㐷挴昴㈰㘲㙥挱挶改晢〹㈶〹づ〰ㄴ㝥ち㐹戳搵㡤㘷㌸慣㝦㡤㉥敤㑡㈵㔷㈲ㅡ㤴㡢昰改慥挲敡㈰㕦昳ㅡ㠲摢〱摡捣ㅦ㍡㈰㌳〸㔱愱㍣㐱㠸㉡㡣㘱㥥戱攴〵搲挰㉥ㄳ㠱愵㤹㠶ㅦ戸㌶㈳㑢㐳收慣㝢搲つ㘶㉤㝦ㄵ㤱愸㔱㌳捡摣戳㈲ㅤ㔰㤷〷摢愷慤捣㕤㕤㤵㌵摤㕣㜴ㅢ㄰㙤挷㘷户挳挱ㅣ摢〱㕢㔲㥤捤㌵㠱搴摢昹ㄸ㐳〸散戴昲户搲ㅢ扢㈵敦㌷て㝤挳慤ㅤ㕤戲㠲扡ㅣ㌰㐳愶㘳扥㘴㘲ㄷㄱ㌹愸昵㥢㑢㉢㥥㤴戳㐳收㔱捦慡搵㉤㐷ㄲㄹ戰㌱ㄹ慣㥢㤳攷㄰㈵㔸㜰ㄹ〳㜴㥤㈱㜳挹㌳ㅣ㝦搵㘰㐰㜱㝤㜷敡㐹㠵㐵ち收戴攵昸㜸㡤挲㈲昳挳收攲㡡㝢〱ㄱ摢㠶敤ㅣ㌵㔶晤㙤㠱ㄵㄲ㝤㤸ㄴ㙡㠴㈶㌴㑤㤴戴㔲慦昸攱㠱㍣㤷㈳敦攵〹ㄴ慥㜲〵晡捣㌳戴㌷敤晡㈸㐶㐳㍢㥤㜳ㅡ㐴昴愸㔹搸㤷㈹㠵挹愹晡ㅤ散昳㍡㠰扢㡥㥥㍥摥㡡捣㍤愷㤸㜵㠱㕥晥っㄹ慦挸愲ㄹ〸愱㡦㙥㔷㐸㉡㉣㈳攵㠰〳㠱㜱㍥戵㤳㕦搹㔴㙤㐸㝤扢㕡搹㈳㠸㈴つ㥡㜳挶戲慣㈳ㅥ㙤ㅢ挱慥昰㠱㘶慣㙤搴晤愸㙥挶戵㙤㠳愴㐵戲㕣慣ㅡ愴攰愹㐶攰㥥戰ㅣ摤〴㔰昴ㄷㄵㄹㄷ㔱㘴㕣㔴㐵㠳收㈹㠶〶㔵㥥㘳戹攷っ捦ち㔶㙣慢㕡攲〳挳㜷摢㠲㈶挱攴㤴扣㜱㡡㘵挶㔸㥢㌵㝦ㅡ㈶㥢㍦〱㜴㑦㐰㡥㜲敢㠸㝥㔰慥㈶㡡昸㈷㝡㜴㉣㐱挰㈸㑦愹晥〶㡣㔶㔰户㈳㈰㜲㔴扡ㄴ摦挱戸昴㈰㑡㐲㈱㐴慣㘷㤰〸扣㠲〹㈱㑦ㄷ㜷搱㍣敤㔸〱戰㐷㡣ㅤ戱㠲㔹ㅦ㈸〷㐰㔶ㅤ㙦慦㔶㔸㑤㜴ㅡ㙦㙡㠵敢㍡慢㔲㙡攲摡捥晡愴摥㜸昹〶搵愱㐶㐹㈸㤲捤ㅡ㈹捤戲挱ㅣ户㤳慡ㄱ㑡㜱挷摡㐶㘴戹㑤㕢晢㑥㈹昲ㅣㄴ㤳愲㤹㥣晥㐶㐵㈸〸昴㐶㍡㡡㍥晢㙣昲㐸㐴㙣㘸〳㤴愹愷挲戲愱㈸㈴㜸ㅣ搷㑥㙡戲ㅣ㍤㠱扦㜷㐵搹昹㐶㤰慡㌱㉥㡥㐶㌵㔳昵晡扣〳㉢愱㙡㜸戵㙤挲搲㔸㕢愸㘱ㄴ㜷昶慡晤挳敤㑤㌰㘲挴㠶っ㡢㘴昸㠱挱㠶㘰慥㐴㐴㤵搶搹㄰户扡㔹㕣攲搳〹㘹㌸ち〳㡢㐱㙤㔶慥㈹㌳慣㘵挹㡦慡づ捤搳愲㤲愳扡㌹戵散㐳愵〷㤴攳㔱㑥㌱戸㙥㥥愲㕢ち㤷ㄸ㈰㜶愳摣㐲㌵㐰㘸户㌹〰㑦〶摢〷㍢搸㤱㌰㜴㐲敢㡣ㄲ戴㤸㐱戸改㐵㤰㜷㝡挴㈸〴愹愹搲㕦て㡢捦㍣捡昴攵挳戹㌸ㄳ㌱ㄱ挳㕤ㄹ搶〳㤰㥢㡣㑣㤲㡢㐶攳㠰㜹㈸搹㤴搰ㅡ㡣换㘸㘲っ搱攴昳〲摣攲㘱㉣㙢㤸㙣㔳挷㍤户挰㠲㌶慤慦敦㌲㡦㍢搵㝡愳㈶㤵㉡㡥㘵戵搲挸摢〲㕦敡ち㘰挸㑤ㄹ晢ㄲ㙤捡㜱ㅣ愵戸㘴㈲愹㜷扢㕢㍦㡣敥㑡挸㘱㡣㔰昵㌱〰㤹攱㤶㔳〱戱㡥㝢ち戴て㜷户㉥㌰愸换㜳㄰㘹ㅤ㐵㤴㘵㜳戸㡦搷㡣㈲㉢㙥㑢㌴㥢㜳攷㕣摡散㠹愲㘳㔶㔸戴㉤㜰㠴㜵㠶〲慦㔸㠴㌱搲㈳㜷㜰㤰摣愵㈸扡㝢改㐱昵㤸扢〴㔴㈸っ〸挶㜸㜹ち捡㘱㔷挱㐸㌴戸戵㤶搵㉤ㄸ晤愵攵慤㑦〱〸㠶㠱㘹搰愲㘵㘸攰捣㈰扦戹㠱㜳ㅤ㕡㘵㐴㐸㤳挱㔴挶㈸㐷攱戰〷搲挰㑤㍣㐸㉦戹㔰㐲挱ㅥ㜵㌱㉣扥㥢㌸㙥攳〸攴㝡㔷戴ㄵ㉥ㄸ〱慥扦㌸㝢摢㡡愷㙡㌵㥡扢昰捦㙤ぢ慣攲敡㐶㘸㡥敥㘹扢㤴愵搶㐴晢敥㠶戶㡡攸戲攰㠱搹㠹㘳㐶㔰㕤㔹っ搶挳㡢㕢扤㤲㐴攱扢昰㐷㙣昸㜶摡捣㜹㠷ㄷ㔱搷戸昷攵昳㡥㝢挱㔱昳㉡昸扣昵〷ち挱ㄵ捡㝥㑥戲㥣晢㌷晥愹愴攵ち摦挱㠸㕢㤹㌶〷㘸㌹㐸㌸㡥㑡愱㌴ㄸ㐳㍥㠳㑥㘰扢㌷㙦つ㤰㑥昶戴搱㠹ㄲ〴㍢㠴攲㥣㝢摥〸㐵㝣ㅢ㘸㈵戱㠴㐷㜲散昹㤷挰晡攲㕢㈸㈱挲昱ㅣ㠹㤱挲昵挸㘵愰㑥〹昲攸㡡〷㉦㠴晣晦㘰㈹收收つ搹改扦挰捣攲愹㜶ㄴ㕤㑢ㄴ㝤戳〳㐵㠲搷㐰ㄴ晦摥㠵㑣㥣ちっ捦㍥慢㐰㌸搷戴㜳〰㝤挱㉦晣晥てて愰㜳ㄱ㜱㈸ㅢつ愱戶ㅢ昱摣㌴ㄱ晡㍡㑣〴〶敦㤵㠹㜰〲ㄹ挱㈸㝥㘸㈲㐴㍥㤰㜹ㄴ㙣㙥㈲㌰戶㤷㘱〸㈶㐲慤〹户〶㑦㘰㔷搸昴㡦ㅤ挳挵㕢改㈳㥥て愵攵捦挰㈳㜵㘵㘷昱㠲攱ㄹ昶㕥㔵㝥搴㤳㔰㘶摥ㄲ㙥㜲慢㉥散㜱昵㠶㌵慡搳〶扥㡡搸换扥攳㑦搹摡晤㜵㘰㉡㑣愱晢㕥㤴㐴昱㌹㜸㑡〴捦つ戹㜷敥昹敡搱㕦摦晦昰㘱摥㔶㡢㘸戵㜰㌳昲扤㠴散㘹㑦㈰愸㥢戸㈸㜲㌹㍦捣㌹㠱㑦㤴慣搵扡㥣㌶㍣㘵〵昹扡ㅤ㘷㐳挲㑢㄰㘶㐸㝣摢挱挴挴扤㠷搰挴㥣㘸㜳㜷慡て㥢㤴㡢㜰㈲㌱㜱攵搳㡢挳㠶愲慢㈲敢搱摡㉣㝣ㅤ慡攸㔹㑥㈴㙤㈵昲搴挹㈴挴搷摡㜵摤㐱敡扡昰㈰挳戰㝦㉣愵㄰㝦㈰㠵㈴て㌲扣㄰愰愴搴㈹㘴ち户〰㘴㐴搶摡㐳扣昴〷散〸〱搹扣昴搷攳㐷㉣搸㐵㘰㌱昶挵昷㝡愲愵㉤ㅡ慢㈶㠶㙡㤵㑤戳㠸㡣㍡扣戰㘰㌲㉥㑤㔹㍡〷㔰扡㘵㜷ㄴ㕦㌲㘴㠷㠱户㤰戱ぢ㌶㝤㙤㘵晢㑥愷㠱㥢ㅦ搰㌳㐵愵㌰㥣摤㉣挶㠱㔴挵攸挲愶攵戰㠸㜰㌸捣㌶㍢つ㐴㔵搰㔹捥㕥㥣㑡ㄱ晣攳㤷㐲慣ㅦ㙦つ㝤㜹㝢つ㜵㥣搳㡦〵昲〷晢敢摡っ挶挶㕢挹㌱㤰戰㕢㙡㔵ち慦㠷㥦㐶ㄷ㉥㍡㈷昴㔶㔶㍤㡢㠳昸ㄳ㜳㔶㥦搶愱晦ㄹ扤㔶㥣㜵㠶扤ㄹ挶㑥改晦户愰㘰㔳晤㉦ㄸ㝢㔳㠸㝣㙢㤴攱㐳㠱昱㤳㑤㐳㌶摣ㄱ㜸戶ㄱ扣㔱〷㘳㕤㘵ㄹ昲づ㜳㡢昸㜸㌵慣㔶ㄲㅣ㝥慦㝣晢搵㠸㘶㕦摡戶〳㕤〵㈰㘳㐳㠵㉦㐱〴㜵敤㥦㤶㕢昱改戶昸㌶㜴摣㜳挲慡㝡慥敦㥡挱搸㈲㠲扥㘳晣昶捣㠴捤㌳㈵扥搸㉥搴㙥挰㑥っ扥〳㝤㑥捥㐳㘰㥦㤴挱昳ㄵ㡢㘴㘴㘱㙢㤱っ㝥㠷㌴㤲〸㉦㔱㍢昸㤷㤹㜷㌷㡣㍡㍥㕤㥤㠷慦㌳㘰搱戶㔰㜶愱挷戹晤㠶〶户づ㜷戴摥っ㝦㤰慣㑦㈰㌸愶㤶昰戶㜷㜰㕦摢昷㈰摤㌶㕡㥢捦㤶扤昹摣捡㠵㈷㠰搳慤扤㈵㑤㌲㝣㈷扦㐸㉥敢ㄵ㐲㕣摡㍦㡣扦㕢㜷搰㜲戴㔱搰㜹昴㐱㌷ㅤ㘱攳㜵戸捦戶㄰晤㍥㡢慥㘲㡡〰㍦摤㠸㌲㝣㄰昴昲㤱ㄵ挵攷戰㉣㌲〰昲戹㘲ㄵ愰㍢㔵㍦扥ㄱ㔵㡦挴〲㔹昰㡣㐱㜲㉣㡢挷搰㤰摢ㄵ㉥ㅢ㉣挱㘵ぢ㜵㤶㐰㕥㡦㝢㈰㥦ㄳ㍣㑢愸㠹㝣ㅡㅤ㥡ㄳ戱㔰摡㝤㈲㥦摣㘸㈲㠲㔶㠰㕡㘸㜲晣㤱㔸㡢攸㜵㔴敢㌶㠱㐳攰〲っ㔳㉣㔲搶ㄴ挳搰挲户㠸ㄹ愴㥦㐵㝦㥦㌹晣搳愷㤹晥㜲㔸㈸㐱㠸慡昴攴㈹〸搵攴㍦㤲㥣扣㠷搲敥㤳㝦㘴愳挹㡦㔰㐶㜲㈶㝡〰㌰搴㈷㉡昸愳ㄶ搳㐰㠶晢挸㥦㌸㑢㠰㕦㙡ㄶ㈳〶㑡㔴摦ぢ挸愰㉦㌷㕣戵扡㠸㑣摣户挰昵㘷㝣摣愳散㈳㕥㠴愴㉦愷ㄸ㍡㘳㡢愱㔶㉣搹㤱ㄷ㜶㕢挸〶㉣㠹㕦换㜶ㄵ改挵ㅥ㈳晣攲㝤㌱㘲㡥ㅤ㡢扦㥣搲愲㤸ㄳ〸㈳戴㐸㐹㍦摣㐸昱摥戸昱㌷㥥㙣戹㑣㔱㠱〴敡〹ㅢ㤳捥㔴攳昷挴㡤て攰慢㉣搵㈶挷ㅢ〴㑣捦挴㡤㐹㡦慡昱挳㜱攳㍦ㅦ搸摢㙣ㅣ搳㘱㌸㜲㠱㐴㤲㘱敢㉡敢㍦昱㠵昶㌰㥡ㄷ㑣敡捦〱㌳㉣愶攴㔴愱攳扡搲愰㠳戸っ攲攱ㅢ改㌹摣㙤挲ㄵ㄰〸搹昰㝦㤵㜰ㅣ㜷㥥㘶㡤挰挰㈷搰㙢〸㌶㝢扡㝡㘲攷愲㌹敦愱愰摦㍣敥攳㑣㔵摢㔶㈴〲㜳㈰ㅦ敥敦㈶㑥昹っ搳戱戵ㅦ㜱㤰㑣攳ㅤ㤲摥㤴㠷ち慣攴挵扢㘲捣收ㅥ㙡搱㡣晥㈰㤰〳改〸挸㡣晥㄰㘰ㄸ㠸攱㙤攵摣〸昹㕦㌱昷扢㔸昱㙥㠲㠷〱捡㠲捣㑥㍡㈸扥〷㘰㌸晥ㅦ㔵㡣慤㈹㝦㠹㈶敥㡦㕦㤶㈴㈳晤㝤散昰㝥㠰㍥戸㙦㐵㐴㠴㘵晤〳㈸㐹扥㤴㠲㐳扤昴㠳慣昸㄰挱㈳〰攵〲㈷扢攵㕤攳㥡㝡搴㕣ㅦ㐶㔷昱㄰〱㝥晡㐷愲っㅦち摣㠷搷㜷户㤵㜹ㄴ㡥㍦散㐷愸㌳昵〵晦㥤昸㈲㝦㥤㡢敥挳晦㤰愴愰っ晢扣昶扡摥挶㈲ㄳ搰㈶㔷扦㔵㙣昶㜳ㄸ㠷敢㙡㐵㔰㌸㈲㤵㑡㐹㉢ち攲㥢ぢㄶ㉥摥挰户ㅣ㔲ㄵ㐲㤰〶㔴㠵ㄳ㔵ㅣ㐶㠱晥㌱㌶㈵㡥㠹㈷晤攳㝣㈲㙡搵㈶㝥㈲捡昰㐱㄰慦慡晢扤㔱昷昸㠵挴戵慡戰摡㕥㐸晣慢㡡㤵攴ぢㅦ攵㘰ち㔹挸愴戵ㄲ㤱愶㘸攸㌱㘴㠶晡㠶㌹户㝢昰搳㉥㡡敡搹摡搹戳晦ㅣ捥㡦㕤㥤㝦换㥢〶ㅦ㝤收挷扦昹攸捦摦㝥攸て晦㝡晣昱㥦晦敥愳㑦晦敢扢换㠷㝥昰挴ㄳ摦扦敢昳㑦晦㘶户昹〵敤挹㝦捥㝤攱㠱挹昳て摣㘷㥥扥昹攸〳㙦扤昷敥挹㠵换挶晢晡晡晢㙦ㅡ晤攱㔵慦ㅣ㜹攸扥愷挴昷㝥㜹愵㈳搴㜲昱㠲昴㌴戸㙣㌵㡤捦㈲㠳㘹㜰挶㉦攸㌴戸㕣戵㔱换搱㐶㑤愳愰〴㥦〶㈷愰㉡㡣㜴挵挰㝦〰昳㍦戵㤴</t>
  </si>
  <si>
    <t>Date of valuation</t>
  </si>
  <si>
    <r>
      <rPr>
        <rFont val="Helv"/>
        <charset val="0"/>
        <family val="0"/>
        <sz val="10"/>
        <b/>
        <i val="0"/>
        <extLst>
          <ext uri="smNativeData">
            <pm:charSpec xmlns:pm="smNativeData" id="1696577006">
              <pm:latin face="Helv" sz="200" weight="bold" i="0"/>
              <pm:cs sz="200"/>
              <pm:ea sz="200"/>
            </pm:charSpec>
          </ext>
        </extLst>
      </rPr>
      <t>Important:</t>
    </r>
    <r>
      <rPr>
        <rFont val="Helv"/>
        <charset val="0"/>
        <family val="0"/>
        <sz val="10"/>
        <b val="0"/>
        <i val="0"/>
        <extLst>
          <ext uri="smNativeData">
            <pm:charSpec xmlns:pm="smNativeData" id="1696577006">
              <pm:latin face="Helv" sz="200" weight="normal" i="0"/>
              <pm:cs sz="200"/>
              <pm:ea sz="200"/>
            </pm:charSpec>
          </ext>
        </extLst>
      </rPr>
      <t xml:space="preserve"> Before you run this spreadsheet, go into preferences in Excel and check under Calculation options</t>
    </r>
  </si>
  <si>
    <t>Company name</t>
  </si>
  <si>
    <t>Amazon</t>
  </si>
  <si>
    <t>There should be a check against the iteration box. If there is not, you will get circular reasoning errors.</t>
  </si>
  <si>
    <t>Numbers from your base year below ( in consistent units)</t>
  </si>
  <si>
    <t>This year</t>
  </si>
  <si>
    <t>Last year</t>
  </si>
  <si>
    <t>Country of incorporation</t>
  </si>
  <si>
    <t>United States</t>
  </si>
  <si>
    <t>Industry (US)</t>
  </si>
  <si>
    <t>Retail (General)</t>
  </si>
  <si>
    <t>Industry (Global)</t>
  </si>
  <si>
    <t>Last 10K</t>
  </si>
  <si>
    <t>Years since last 10K</t>
  </si>
  <si>
    <t>Revenues</t>
  </si>
  <si>
    <t>Operating income or EBIT</t>
  </si>
  <si>
    <t>Interest expense</t>
  </si>
  <si>
    <t>Book value of equity</t>
  </si>
  <si>
    <t>Book value of debt</t>
  </si>
  <si>
    <t>Do you have R&amp;D expenses to capitalize?</t>
  </si>
  <si>
    <t>Yes</t>
  </si>
  <si>
    <t xml:space="preserve"> If you want to capitalize R&amp;D, you have to input the numbers into the R&amp;D worksheet. </t>
  </si>
  <si>
    <t>Do you have operating lease commitments?</t>
  </si>
  <si>
    <t>If you have operating leases, please enter your lease commitments in the lease worksheet below and I will convert to debt</t>
  </si>
  <si>
    <t>Cash and Marketable Securities</t>
  </si>
  <si>
    <t>Cross holdings and other non-operating assets</t>
  </si>
  <si>
    <t>Minority interests</t>
  </si>
  <si>
    <t>Number of shares outstanding =</t>
  </si>
  <si>
    <t>Current stock price =</t>
  </si>
  <si>
    <t>Computed numbers: Here is what your company's numbers look like, relative to industry.</t>
  </si>
  <si>
    <t>Effective tax rate =</t>
  </si>
  <si>
    <t>If you are not working in US dollars, you should add the inflation differential to the industry averages.</t>
  </si>
  <si>
    <t>Marginal tax rate =</t>
  </si>
  <si>
    <t>Company</t>
  </si>
  <si>
    <t>Industry (US data)</t>
  </si>
  <si>
    <t>Industry (Global data)</t>
  </si>
  <si>
    <t>The value drivers below:</t>
  </si>
  <si>
    <t>Revenue growth in the most recent year =</t>
  </si>
  <si>
    <t>Compounded annual revenue growth rate over next 5 years =</t>
  </si>
  <si>
    <t>Growth Lever</t>
  </si>
  <si>
    <t>Pre-tax operating margin in the most recent year =</t>
  </si>
  <si>
    <t>Target pre-tax operating margin (EBIT as % of sales in year 10) =</t>
  </si>
  <si>
    <t>Profitability Lever</t>
  </si>
  <si>
    <t>Sales to capital ratio in most recent year =</t>
  </si>
  <si>
    <t>Year of convergence</t>
  </si>
  <si>
    <t>Speed of convergence level</t>
  </si>
  <si>
    <t>Return on invested capital in most recent year=</t>
  </si>
  <si>
    <t>Sales to capital ratio  (for computing reinvestment) =</t>
  </si>
  <si>
    <t>Efficency of Growth Lever</t>
  </si>
  <si>
    <t>Standard deviation in stock prices =</t>
  </si>
  <si>
    <t xml:space="preserve">Market numbers </t>
  </si>
  <si>
    <t>Cost of capital =</t>
  </si>
  <si>
    <t>Riskfree rate</t>
  </si>
  <si>
    <t>Initial cost of capital =</t>
  </si>
  <si>
    <t>Valuation Output Feedback (for you to use to fine tune your inputs, if you want)</t>
  </si>
  <si>
    <t>Other inputs</t>
  </si>
  <si>
    <t>Revenues in year 10, based on your revenue growth =</t>
  </si>
  <si>
    <t>Do you have employee options outstanding?</t>
  </si>
  <si>
    <t>No</t>
  </si>
  <si>
    <t>Pre-tax Operating Income in year 10, based on your operating margin =</t>
  </si>
  <si>
    <t>Number of options outstanding =</t>
  </si>
  <si>
    <t>Return on invested capital in year 10, based on your sales/capital ratio =</t>
  </si>
  <si>
    <t>Average strike price =</t>
  </si>
  <si>
    <t>Check the Diagnostics worksheet for more details.</t>
  </si>
  <si>
    <t>Average maturity =</t>
  </si>
  <si>
    <t>Standard deviation on stock price =</t>
  </si>
  <si>
    <t xml:space="preserve">Default assumptions. </t>
  </si>
  <si>
    <t>In stable growth, I will assume that your firm will have a cost of capital similar to that of typical mature companies (riskfree rate + 4.5%)</t>
  </si>
  <si>
    <t>Do you want to override this assumption =</t>
  </si>
  <si>
    <t>Mature companies generally see their risk levels approach the average</t>
  </si>
  <si>
    <t>If yes, enter the cost of capital after year 10 =</t>
  </si>
  <si>
    <t>Though some sectors, even in stable growth, may have higher risk.</t>
  </si>
  <si>
    <t>I will assume that your firm will earn a return on capital equal to its cost of capital after year 10. I am assuming that whatever competitive advantages you have today will fade over time.</t>
  </si>
  <si>
    <t>Mature companies find it difficult to generate returns that exceed the cost of capital</t>
  </si>
  <si>
    <t>If yes, enter the return on capital you expect after year 10</t>
  </si>
  <si>
    <t>But there are significant exceptions among companies with long-lasting competitive advantages.</t>
  </si>
  <si>
    <t>I will assume that your firm has no chance of failure over the foreseeable future.</t>
  </si>
  <si>
    <t>Many young, growth companies fail, especially if they have trouble raising cash. Many distressed companies fail, because they have trouble making debt payments.</t>
  </si>
  <si>
    <t>If yes, enter the probability of failure =</t>
  </si>
  <si>
    <t>Tough to estimate but a key input.</t>
  </si>
  <si>
    <t>What do you want to tie your proceeds in failure to?</t>
  </si>
  <si>
    <t>V</t>
  </si>
  <si>
    <t>B: Book value of capital, V= Estimated fair value for the company</t>
  </si>
  <si>
    <t>Enter the distress proceeds as percentage of book or fair value</t>
  </si>
  <si>
    <t>This can be zero, if the assets will be worth nothing if the firm fails.</t>
  </si>
  <si>
    <t>I will assume that your effective tax rate will adjust to your marginal tax rate by your terminal year. If you override this assumption, I will leave the tax rate at your effective tax rate.</t>
  </si>
  <si>
    <t>I will assume that you have no losses carried forward from prior years ( NOL) coming into the valuation. If you have a money losing company, you may want to override tis.</t>
  </si>
  <si>
    <t>Check the financial statements.</t>
  </si>
  <si>
    <t>If yes, enter the NOL that you are carrying over into year 1</t>
  </si>
  <si>
    <t>An NOL will shield your income from taxes, even after you start making money.</t>
  </si>
  <si>
    <t>I will assume that the growth rate in perpetuity will be equal to the risk free rate. This allows for both valuation consistency and prevents "impossible" growth rates.</t>
  </si>
  <si>
    <t>If yes, enter the growth rate in perpetuity</t>
  </si>
  <si>
    <t>This can be negative, if you feel the company will decline (and disappear) after growth is done. If you let it exceed the risk free rate, you are on your own in uncharted territory.</t>
  </si>
  <si>
    <t>I have assumed that none of the cash is trapped (in foreign countries) and that there is no additional tax liability coming due and that cash is a neutral asset.</t>
  </si>
  <si>
    <t>Do you want to override this assumption</t>
  </si>
  <si>
    <t>If yes, enter trapped cash (if taxes) or entire balance (if mistrust)</t>
  </si>
  <si>
    <t>Cash that is trapped in foreign markets (and subject to additoinal tax) or cash that is being discounted by the market (because of management mistrust)</t>
  </si>
  <si>
    <t>&amp; Average tax rate of the foreign markets where the cash is trapped</t>
  </si>
  <si>
    <t>Additional tax rate due on trapped cash or discount being applied to cash balance because of mistrust.</t>
  </si>
  <si>
    <t>Base year</t>
  </si>
  <si>
    <t>Terminal year</t>
  </si>
  <si>
    <t>Revenue growth rate</t>
  </si>
  <si>
    <t>EBIT (Operating) margin</t>
  </si>
  <si>
    <t>EBIT (Operating income)</t>
  </si>
  <si>
    <t>Tax rate</t>
  </si>
  <si>
    <t>EBIT(1-t)</t>
  </si>
  <si>
    <t xml:space="preserve"> - Reinvestment</t>
  </si>
  <si>
    <t>FCFF</t>
  </si>
  <si>
    <t>NOL</t>
  </si>
  <si>
    <t>Cost of capital</t>
  </si>
  <si>
    <t>Cumulated discount factor</t>
  </si>
  <si>
    <t>PV(FCFF)</t>
  </si>
  <si>
    <t>Terminal cash flow</t>
  </si>
  <si>
    <t>Terminal cost of capital</t>
  </si>
  <si>
    <t>Terminal value</t>
  </si>
  <si>
    <t>PV(Terminal value)</t>
  </si>
  <si>
    <t>PV (CF over next 10 years)</t>
  </si>
  <si>
    <t>Sum of PV</t>
  </si>
  <si>
    <t>Probability of failure =</t>
  </si>
  <si>
    <t>Proceeds if firm fails =</t>
  </si>
  <si>
    <t>Value of operating assets =</t>
  </si>
  <si>
    <t xml:space="preserve"> - Debt</t>
  </si>
  <si>
    <t xml:space="preserve"> - Minority interests</t>
  </si>
  <si>
    <t xml:space="preserve"> +  Cash</t>
  </si>
  <si>
    <t xml:space="preserve"> + Non-operating assets</t>
  </si>
  <si>
    <t>Value of equity</t>
  </si>
  <si>
    <t xml:space="preserve"> - Value of options</t>
  </si>
  <si>
    <t>Value of equity in common stock</t>
  </si>
  <si>
    <t>Number of shares</t>
  </si>
  <si>
    <t>Estimated value /share</t>
  </si>
  <si>
    <t>Price</t>
  </si>
  <si>
    <t>Price as % of value</t>
  </si>
  <si>
    <t>Implied variables</t>
  </si>
  <si>
    <t>After year 10</t>
  </si>
  <si>
    <t>Sales to capital ratio</t>
  </si>
  <si>
    <t>Invested capital</t>
  </si>
  <si>
    <t>ROIC</t>
  </si>
  <si>
    <t>The Greatest (and most Feared) Disruptive Platform in History</t>
  </si>
  <si>
    <t>Amazon will complete its metaphorsis from being a retail company to one that can take its competitive advantages - access to capital &amp; willingness to lose money for long periods, while disrupting and changing the status quo - to any business that it targets, giving it the potential for high revenue growth on top of already-large revenues. It will be able to use the pricing power it accumulates in each business it is in, to increase profit margins, partly through economies of scale and partly through higher prices. Its low debt ratio and divergent business mix give it a low cost of capital.</t>
  </si>
  <si>
    <t>Tell your story about the company. Keep it focuses on the company's businesses and tie it into the three key levers of value: cash flows, growth and risk</t>
  </si>
  <si>
    <t>The Assumptions</t>
  </si>
  <si>
    <t>Base year</t>
  </si>
  <si>
    <t>Years 1-5</t>
  </si>
  <si>
    <t>Years 6-10</t>
  </si>
  <si>
    <t>Link to story</t>
  </si>
  <si>
    <t>Revenues (a)</t>
  </si>
  <si>
    <t>Expanding into new businessses</t>
  </si>
  <si>
    <t>Tie each assumption to the part of your story that relates to it.</t>
  </si>
  <si>
    <t>Operating margin (b)</t>
  </si>
  <si>
    <t>Economies of scale and pricing power increase margins</t>
  </si>
  <si>
    <t>Converging on a global tax rate of 25%</t>
  </si>
  <si>
    <t>Reinvestment (c )</t>
  </si>
  <si>
    <t>Sales to capital ratio =</t>
  </si>
  <si>
    <t>RIR =</t>
  </si>
  <si>
    <t>Big payoffs from investing in technology and content</t>
  </si>
  <si>
    <t>Return on capital</t>
  </si>
  <si>
    <t>Marginal ROIC =</t>
  </si>
  <si>
    <t>The last man standing…</t>
  </si>
  <si>
    <t>Cost of capital (d)</t>
  </si>
  <si>
    <t>Low debt &amp; diverse business mix</t>
  </si>
  <si>
    <t>The Cash Flows</t>
  </si>
  <si>
    <t>Operating Margin</t>
  </si>
  <si>
    <t>EBIT</t>
  </si>
  <si>
    <t>EBIT (1-t)</t>
  </si>
  <si>
    <t xml:space="preserve">Reinvestment </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</si>
  <si>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</si>
  <si>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The Value</t>
  </si>
  <si>
    <t>Terminal value</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</si>
  <si>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</si>
  <si>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PV(Terminal value)</t>
  </si>
  <si>
    <t>Adjustment for distress</t>
  </si>
  <si>
    <t xml:space="preserve"> - Debt &amp; Mnority Interests</t>
  </si>
  <si>
    <t xml:space="preserve"> + Cash &amp; Other Non-operating assets</t>
  </si>
  <si>
    <t xml:space="preserve"> - Value of equity options</t>
  </si>
  <si>
    <t>Number of shares</t>
  </si>
  <si>
    <t>Value per share</t>
  </si>
  <si>
    <t>Stock was trading at =</t>
  </si>
  <si>
    <t>Year</t>
  </si>
  <si>
    <t>Revenue Growth Rate</t>
  </si>
  <si>
    <t>Pre-Tax Operating Margin</t>
  </si>
  <si>
    <t>Pre-Tax Operating Income</t>
  </si>
  <si>
    <t>Taxes</t>
  </si>
  <si>
    <t>After-Tax Operating Income</t>
  </si>
  <si>
    <t>Traling 12 month</t>
  </si>
  <si>
    <t>Change in Revenues</t>
  </si>
  <si>
    <t>Sales to Capital</t>
  </si>
  <si>
    <t>Reinvestment</t>
  </si>
  <si>
    <t>Capital Invested</t>
  </si>
  <si>
    <t>Implied ROC</t>
  </si>
  <si>
    <t>Beta</t>
  </si>
  <si>
    <t>Cost of Equity</t>
  </si>
  <si>
    <t>Pre-Tax Cost of Debt</t>
  </si>
  <si>
    <t>Tax Savings</t>
  </si>
  <si>
    <t>After-Tax Cost of Debt</t>
  </si>
  <si>
    <t>Debt Ratio</t>
  </si>
  <si>
    <t>Cost of Capital</t>
  </si>
  <si>
    <t>Cumulated Cost of Capital</t>
  </si>
  <si>
    <t>Terminal Value</t>
  </si>
  <si>
    <t>Present Value</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</si>
  <si>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</si>
  <si>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</si>
  <si>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</si>
  <si>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</si>
  <si>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</si>
  <si>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</si>
  <si>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</si>
  <si>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</si>
  <si>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</si>
  <si>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</si>
  <si>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</si>
  <si>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VALUING WARRANTS WHEN THERE IS DILUTION</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</si>
  <si>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</si>
  <si>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</si>
  <si>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</si>
  <si>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</si>
  <si>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</si>
  <si>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</si>
  <si>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</si>
  <si>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</si>
  <si>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</si>
  <si>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</si>
  <si>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</si>
  <si>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</si>
  <si>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</si>
  <si>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</si>
  <si>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</si>
  <si>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</si>
  <si>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</si>
  <si>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VALUATION DIAGNOSTICS</t>
  </si>
  <si>
    <t>Invested capital at start of valuation</t>
  </si>
  <si>
    <t>Invested capital at end of valuation</t>
  </si>
  <si>
    <t>Change in invested capital over 10 years</t>
  </si>
  <si>
    <t>Change in EBIT*(1–t) (after-tax operating income) over 10 years</t>
  </si>
  <si>
    <t>Marginal ROIC over 10 years</t>
  </si>
  <si>
    <t>ROIC at end of valuation</t>
  </si>
  <si>
    <t>Average WACC over the 10 years (compounded)</t>
  </si>
  <si>
    <t>Your calculated value as a percent of current price</t>
  </si>
  <si>
    <t>Inputs</t>
  </si>
  <si>
    <t>If calculated value is negative or looks too low</t>
  </si>
  <si>
    <t>If calculated value looks too high</t>
  </si>
  <si>
    <t>Revenue growth rate (input cell B3)</t>
  </si>
  <si>
    <t>Increase revenue growth rate</t>
  </si>
  <si>
    <t>Decrease revenue growth rate</t>
  </si>
  <si>
    <t>Last period EBIT as % of revenue (Input cell B14)</t>
  </si>
  <si>
    <t>Increase the target pre-tax operating margin</t>
  </si>
  <si>
    <t>Decrease the target pre-tax operating margin</t>
  </si>
  <si>
    <t xml:space="preserve"> </t>
  </si>
  <si>
    <t>Sales to Capital Ratio or reinvestment (Input cell B15)</t>
  </si>
  <si>
    <t>Decrease the sales/capital ratio</t>
  </si>
  <si>
    <t>Increase the sales/capital ratio</t>
  </si>
  <si>
    <t>Return on capital in perpetuity (B30 &amp; B31)</t>
  </si>
  <si>
    <t>Increase relative to your cost of capital</t>
  </si>
  <si>
    <t>If higher than your cost of capital, lower towards your cost of capital</t>
  </si>
  <si>
    <t>T</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</si>
  <si>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</si>
  <si>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</si>
  <si>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</si>
  <si>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</si>
  <si>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</si>
  <si>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</si>
  <si>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</si>
  <si>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</si>
  <si>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</si>
  <si>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R&amp; D Expenses</t>
  </si>
  <si>
    <t>! Year -1 is the year prior to the current year</t>
  </si>
  <si>
    <t>! Year -2 is the two years prior to the current year</t>
  </si>
  <si>
    <t>Output</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</si>
  <si>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</si>
  <si>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</si>
  <si>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</si>
  <si>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</si>
  <si>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</si>
  <si>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</si>
  <si>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</si>
  <si>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</si>
  <si>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</si>
  <si>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Operating Lease Converter</t>
  </si>
  <si>
    <t>The yellow cells are input cells. Please enter them.</t>
  </si>
  <si>
    <t>Operating lease expense in current year =</t>
  </si>
  <si>
    <t>Operating Lease Commitments (From footnote to financials)</t>
  </si>
  <si>
    <t>Commitment</t>
  </si>
  <si>
    <t>! Year 1 is next year, ….</t>
  </si>
  <si>
    <t>6 and beyond</t>
  </si>
  <si>
    <t>Pre-tax Cost of Debt =</t>
  </si>
  <si>
    <t>! If you do not have a cost of debt, use the synthetic rating estimator</t>
  </si>
  <si>
    <t>Number of years embedded in yr 6 estimate =</t>
  </si>
  <si>
    <t>! I use the average lease expense over the first five years</t>
  </si>
  <si>
    <t>to estimate the number of years of expenses in yr 6</t>
  </si>
  <si>
    <t>Converting Operating Leases into debt</t>
  </si>
  <si>
    <t>! Commitment beyond year 6 converted into an annuity for ten years</t>
  </si>
  <si>
    <t>Debt Value of leases =</t>
  </si>
  <si>
    <t>Restated Financials</t>
  </si>
  <si>
    <t>Depreciation on Operating Lease Asset =</t>
  </si>
  <si>
    <t>! I use straight line depreciation</t>
  </si>
  <si>
    <t>Adjustment to Operating Earnings =</t>
  </si>
  <si>
    <t>! Add this amount to pre-tax operating income</t>
  </si>
  <si>
    <t>Adjustment to Total Debt outstanding =</t>
  </si>
  <si>
    <t>! Add this amount to debt</t>
  </si>
  <si>
    <t>Adjustment to Depreciation =</t>
  </si>
  <si>
    <t>Estimation of Current Cost of Capital</t>
  </si>
  <si>
    <t>Operating Countries ERP calculator</t>
  </si>
  <si>
    <t>Country</t>
  </si>
  <si>
    <t>ERP</t>
  </si>
  <si>
    <t>Weight</t>
  </si>
  <si>
    <t>Weighted ERP</t>
  </si>
  <si>
    <t>Equity</t>
  </si>
  <si>
    <t>United States of America</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</si>
  <si>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</si>
  <si>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Number of Shares outstanding =</t>
  </si>
  <si>
    <t>Germany</t>
  </si>
  <si>
    <t>Current Market Price per share =</t>
  </si>
  <si>
    <t>United Kingdom</t>
  </si>
  <si>
    <t>Japan</t>
  </si>
  <si>
    <t>Approach for estimating beta</t>
  </si>
  <si>
    <t>Multibusiness(Global)</t>
  </si>
  <si>
    <t>If direct input, enter levered beta (or regression beta)</t>
  </si>
  <si>
    <t>Unlevered beta =</t>
  </si>
  <si>
    <t>Riskfree Rate =</t>
  </si>
  <si>
    <t>What approach do you want to use to input ERP?</t>
  </si>
  <si>
    <t>Operating countries</t>
  </si>
  <si>
    <t>Direct input for ERP (if you choose "will input"</t>
  </si>
  <si>
    <t>Equity Risk Premium used in cost of equity =</t>
  </si>
  <si>
    <t>Debt</t>
  </si>
  <si>
    <t>Rest of the World</t>
  </si>
  <si>
    <t>Book Value of Straight Debt =</t>
  </si>
  <si>
    <t>Total</t>
  </si>
  <si>
    <t>Interest Expense on Debt =</t>
  </si>
  <si>
    <t>Operating Regions ERP calculator</t>
  </si>
  <si>
    <t>Average Maturity =</t>
  </si>
  <si>
    <t>Region</t>
  </si>
  <si>
    <t>Approach for estimating pre-tax cost of debt</t>
  </si>
  <si>
    <t>Synthetic rating</t>
  </si>
  <si>
    <t>If direct input, input the pre-tax cost of debt</t>
  </si>
  <si>
    <t>If actual rating, input the rating</t>
  </si>
  <si>
    <t>Aa2/AA</t>
  </si>
  <si>
    <t>If synethetic rating, input the type of company</t>
  </si>
  <si>
    <t>Tax Rate =</t>
  </si>
  <si>
    <t>Book Value of Convertible Debt =</t>
  </si>
  <si>
    <t>Interest Expense on Convertible =</t>
  </si>
  <si>
    <t>Maturity of Convertible Bond =</t>
  </si>
  <si>
    <t>Market Value of Convertible =</t>
  </si>
  <si>
    <t>Debt value of operating leases =</t>
  </si>
  <si>
    <t>Multi Business (US Industry Averages)</t>
  </si>
  <si>
    <t>Preferred Stock</t>
  </si>
  <si>
    <t>Business</t>
  </si>
  <si>
    <t>EV/Sales</t>
  </si>
  <si>
    <t>Estimated Value</t>
  </si>
  <si>
    <t>Unlevered Beta</t>
  </si>
  <si>
    <t>Number of Preferred Shares =</t>
  </si>
  <si>
    <t>Advertising</t>
  </si>
  <si>
    <t>Current Market Price per Share=</t>
  </si>
  <si>
    <t>Computer Services</t>
  </si>
  <si>
    <t>Annual Dividend per Share =</t>
  </si>
  <si>
    <t>Estimating Market Value of Straight Debt =</t>
  </si>
  <si>
    <t>Estimated Value of Straight Debt in Convertible =</t>
  </si>
  <si>
    <t>Value of Debt in Operating leases =</t>
  </si>
  <si>
    <t>Estimated Value of Equity in Convertible =</t>
  </si>
  <si>
    <t>Levered Beta for equity =</t>
  </si>
  <si>
    <t xml:space="preserve">Debt </t>
  </si>
  <si>
    <t>Capital</t>
  </si>
  <si>
    <t>Market Value</t>
  </si>
  <si>
    <t>Weight in Cost of Capital</t>
  </si>
  <si>
    <t>Cost of Component</t>
  </si>
  <si>
    <t>Multi Business (Global Industry Averages)</t>
  </si>
  <si>
    <t>Entertainment</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</si>
  <si>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</si>
  <si>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</si>
  <si>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</si>
  <si>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</si>
  <si>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</si>
  <si>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</si>
  <si>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</si>
  <si>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</si>
  <si>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Enter long term risk free rate  =</t>
  </si>
  <si>
    <t>Interest  coverage ratio =</t>
  </si>
  <si>
    <t>Estimated Bond Rating =</t>
  </si>
  <si>
    <t>Note: If you get REF! All over the place, set the operating lease commitment question in cell F5</t>
  </si>
  <si>
    <t>Estimated Company Default Spread =</t>
  </si>
  <si>
    <t>to No, and then reset it to Yes. It should work.</t>
  </si>
  <si>
    <t>Estimated County Default Spread (if any) =</t>
  </si>
  <si>
    <t>Estimated Cost of Debt =</t>
  </si>
  <si>
    <t xml:space="preserve"> If you want to update the spreads listed below, please visit http://www.bondsonline.com</t>
  </si>
  <si>
    <t>For large manufacturing firms</t>
  </si>
  <si>
    <t>If interest coverage ratio is</t>
  </si>
  <si>
    <t>&gt;</t>
  </si>
  <si>
    <t>≤ to</t>
  </si>
  <si>
    <t>Rating is</t>
  </si>
  <si>
    <t>Spread is</t>
  </si>
  <si>
    <t>D2/D</t>
  </si>
  <si>
    <t>Caa/CCC</t>
  </si>
  <si>
    <t>Ca2/CC</t>
  </si>
  <si>
    <t>C2/C</t>
  </si>
  <si>
    <t>B3/B-</t>
  </si>
  <si>
    <t>B2/B</t>
  </si>
  <si>
    <t>B1/B+</t>
  </si>
  <si>
    <t>Ba2/BB</t>
  </si>
  <si>
    <t>Ba1/BB+</t>
  </si>
  <si>
    <t>Baa2/BBB</t>
  </si>
  <si>
    <t>A3/A-</t>
  </si>
  <si>
    <t>A2/A</t>
  </si>
  <si>
    <t>A1/A+</t>
  </si>
  <si>
    <t>Aaa/AAA</t>
  </si>
  <si>
    <t>For smaller and riskier firms</t>
  </si>
  <si>
    <t>greater than</t>
  </si>
  <si>
    <t>Industry Name</t>
  </si>
  <si>
    <t>Number of firms</t>
  </si>
  <si>
    <t>Annual Average Revenue growth - Last 5 years</t>
  </si>
  <si>
    <t>Pre-tax Operating Margin (Lease &amp; R&amp;D adjusted)</t>
  </si>
  <si>
    <t>After-tax ROC</t>
  </si>
  <si>
    <t>Average effective tax rate</t>
  </si>
  <si>
    <t>Equity (Levered) Beta</t>
  </si>
  <si>
    <t>Cost of equity</t>
  </si>
  <si>
    <t>Std deviation in stock prices</t>
  </si>
  <si>
    <t>Pre-tax cost of debt</t>
  </si>
  <si>
    <t>Market Debt/Capital</t>
  </si>
  <si>
    <t>Sales/Capital</t>
  </si>
  <si>
    <t>EV/EBITDA</t>
  </si>
  <si>
    <t>EV/EBIT</t>
  </si>
  <si>
    <t>Price/Book</t>
  </si>
  <si>
    <t>Trailing PE</t>
  </si>
  <si>
    <t>Non-cash WC as % of Revenues</t>
  </si>
  <si>
    <t>Cap Ex as % of Revenues</t>
  </si>
  <si>
    <t>Net Cap Ex as % of Revenues</t>
  </si>
  <si>
    <t>Reinvestment Rate</t>
  </si>
  <si>
    <t>ROE</t>
  </si>
  <si>
    <t>Dividend Payout Ratio</t>
  </si>
  <si>
    <t>Equity Reinvestment Rate</t>
  </si>
  <si>
    <t>Aerospace/Defense</t>
  </si>
  <si>
    <t>Air Transport</t>
  </si>
  <si>
    <t>Apparel</t>
  </si>
  <si>
    <t>Auto &amp; Truck</t>
  </si>
  <si>
    <t>Auto Parts</t>
  </si>
  <si>
    <t>Bank (Money Center)</t>
  </si>
  <si>
    <t>NA</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</si>
  <si>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</si>
  <si>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</si>
  <si>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</si>
  <si>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</si>
  <si>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</si>
  <si>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</si>
  <si>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</si>
  <si>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</si>
  <si>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</si>
  <si>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</si>
  <si>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</si>
  <si>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</si>
  <si>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</si>
  <si>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</si>
  <si>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</si>
  <si>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</si>
  <si>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</si>
  <si>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</si>
  <si>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</si>
  <si>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</si>
  <si>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</si>
  <si>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</si>
  <si>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</si>
  <si>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</si>
  <si>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</si>
  <si>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</si>
  <si>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</si>
  <si>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</si>
  <si>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</si>
  <si>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</si>
  <si>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</si>
  <si>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</si>
  <si>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</si>
  <si>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</si>
  <si>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</si>
  <si>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</si>
  <si>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</si>
  <si>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</si>
  <si>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</si>
  <si>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</si>
  <si>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</si>
  <si>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</si>
  <si>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</si>
  <si>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</si>
  <si>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</si>
  <si>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</si>
  <si>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</si>
  <si>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</si>
  <si>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</si>
  <si>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</si>
  <si>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</si>
  <si>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</si>
  <si>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Publishing &amp; Newspapers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</si>
  <si>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</si>
  <si>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</si>
  <si>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</si>
  <si>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</si>
  <si>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</si>
  <si>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</si>
  <si>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</si>
  <si>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</si>
  <si>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</si>
  <si>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</si>
  <si>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(Grocery and Food)</t>
  </si>
  <si>
    <t>Retail (Online)</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</si>
  <si>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</si>
  <si>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</si>
  <si>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</si>
  <si>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</si>
  <si>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</si>
  <si>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</si>
  <si>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</si>
  <si>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</si>
  <si>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</si>
  <si>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</si>
  <si>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</si>
  <si>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</si>
  <si>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</si>
  <si>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</si>
  <si>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</si>
  <si>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</si>
  <si>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</si>
  <si>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</si>
  <si>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</si>
  <si>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Moody's rating</t>
  </si>
  <si>
    <t>Adj. Default Spread</t>
  </si>
  <si>
    <t>Equity Risk Premium</t>
  </si>
  <si>
    <t>Country Risk Premium</t>
  </si>
  <si>
    <t>Corporate Tax Rate</t>
  </si>
  <si>
    <t>Abu Dhabi</t>
  </si>
  <si>
    <t>Aa2</t>
  </si>
  <si>
    <t>Middle East</t>
  </si>
  <si>
    <t>Albania</t>
  </si>
  <si>
    <t>B1</t>
  </si>
  <si>
    <t>Eastern Europe &amp; Russia</t>
  </si>
  <si>
    <t>Algeria</t>
  </si>
  <si>
    <t>Africa</t>
  </si>
  <si>
    <t>Andorra (Principality of)</t>
  </si>
  <si>
    <t>Baa2</t>
  </si>
  <si>
    <t>Western Europe</t>
  </si>
  <si>
    <t>Angola</t>
  </si>
  <si>
    <t>B2</t>
  </si>
  <si>
    <t>Anguilla</t>
  </si>
  <si>
    <t>Caribbean</t>
  </si>
  <si>
    <t>Antigua &amp; Barbuda</t>
  </si>
  <si>
    <t>Argentina</t>
  </si>
  <si>
    <t>Central and South America</t>
  </si>
  <si>
    <t>Armenia</t>
  </si>
  <si>
    <t>Aruba</t>
  </si>
  <si>
    <t>Baa1</t>
  </si>
  <si>
    <t>Australia</t>
  </si>
  <si>
    <t>Aaa</t>
  </si>
  <si>
    <t>Australia &amp; New Zealand</t>
  </si>
  <si>
    <t>Austria</t>
  </si>
  <si>
    <t>Aa1</t>
  </si>
  <si>
    <t>Azerbaijan</t>
  </si>
  <si>
    <t>Ba2</t>
  </si>
  <si>
    <t>Bahamas</t>
  </si>
  <si>
    <t>Baa3</t>
  </si>
  <si>
    <t>Bahrain</t>
  </si>
  <si>
    <t>Bangladesh</t>
  </si>
  <si>
    <t>Ba3</t>
  </si>
  <si>
    <t>Asia</t>
  </si>
  <si>
    <t>Barbados</t>
  </si>
  <si>
    <t>Caa3</t>
  </si>
  <si>
    <t>Belarus</t>
  </si>
  <si>
    <t>Caa1</t>
  </si>
  <si>
    <t>Belgium</t>
  </si>
  <si>
    <t>Aa3</t>
  </si>
  <si>
    <t>Belize</t>
  </si>
  <si>
    <t>B3</t>
  </si>
  <si>
    <t>Benin</t>
  </si>
  <si>
    <t>Bermuda</t>
  </si>
  <si>
    <t>A2</t>
  </si>
  <si>
    <t>Bolivia</t>
  </si>
  <si>
    <t>Bosnia and Herzegovina</t>
  </si>
  <si>
    <t>Botswana</t>
  </si>
  <si>
    <t>Brazil</t>
  </si>
  <si>
    <t>British Virgin Islands</t>
  </si>
  <si>
    <t>Brunei</t>
  </si>
  <si>
    <t>Bulgaria</t>
  </si>
  <si>
    <t>Burkina Faso</t>
  </si>
  <si>
    <t>Cambodia</t>
  </si>
  <si>
    <t>Cameroon</t>
  </si>
  <si>
    <t>Canada</t>
  </si>
  <si>
    <t>North America</t>
  </si>
  <si>
    <t>Cape Verde</t>
  </si>
  <si>
    <t>Cayman Islands</t>
  </si>
  <si>
    <t>Channel Islands</t>
  </si>
  <si>
    <t>Chile</t>
  </si>
  <si>
    <t>China</t>
  </si>
  <si>
    <t>A1</t>
  </si>
  <si>
    <t>Colombia</t>
  </si>
  <si>
    <t>Congo (Democratic Republic of)</t>
  </si>
  <si>
    <t>Congo (Republic of)</t>
  </si>
  <si>
    <t>Caa2</t>
  </si>
  <si>
    <t>Cook Islands</t>
  </si>
  <si>
    <t>Costa Rica</t>
  </si>
  <si>
    <t>Croatia</t>
  </si>
  <si>
    <t>Cuba</t>
  </si>
  <si>
    <t>Curaçao</t>
  </si>
  <si>
    <t>A3</t>
  </si>
  <si>
    <t>Cyprus</t>
  </si>
  <si>
    <t>Czech Republic</t>
  </si>
  <si>
    <t>Denmark</t>
  </si>
  <si>
    <t>Dominican Republic</t>
  </si>
  <si>
    <t>Ecuador</t>
  </si>
  <si>
    <t>Egypt</t>
  </si>
  <si>
    <t>El Salvador</t>
  </si>
  <si>
    <t>Estonia</t>
  </si>
  <si>
    <t>Ethiopia</t>
  </si>
  <si>
    <t>Falkland Islands</t>
  </si>
  <si>
    <t>Fiji</t>
  </si>
  <si>
    <t>Finland</t>
  </si>
  <si>
    <t>France</t>
  </si>
  <si>
    <t>Gabon</t>
  </si>
  <si>
    <t>Gambia</t>
  </si>
  <si>
    <t>Georgia</t>
  </si>
  <si>
    <t>Ghana</t>
  </si>
  <si>
    <t>Gibraltar</t>
  </si>
  <si>
    <t>Greece</t>
  </si>
  <si>
    <t>Greenland</t>
  </si>
  <si>
    <t>Guatemala</t>
  </si>
  <si>
    <t>Ba1</t>
  </si>
  <si>
    <t>Guernsey (States of)</t>
  </si>
  <si>
    <t>Guinea</t>
  </si>
  <si>
    <t>Guinea-Bissau</t>
  </si>
  <si>
    <t>Guyana</t>
  </si>
  <si>
    <t>Haiti</t>
  </si>
  <si>
    <t>Honduras</t>
  </si>
  <si>
    <t>Hong Kong</t>
  </si>
  <si>
    <t>Hungary</t>
  </si>
  <si>
    <t>Iceland</t>
  </si>
  <si>
    <t>India</t>
  </si>
  <si>
    <t>Indonesia</t>
  </si>
  <si>
    <t>Iran</t>
  </si>
  <si>
    <t>Iraq</t>
  </si>
  <si>
    <t>Ireland</t>
  </si>
  <si>
    <t>Isle of Man</t>
  </si>
  <si>
    <t>Israel</t>
  </si>
  <si>
    <t>Italy</t>
  </si>
  <si>
    <t>Ivory Coast</t>
  </si>
  <si>
    <t>Jamaica</t>
  </si>
  <si>
    <t>Jersey (States of)</t>
  </si>
  <si>
    <t>Jordan</t>
  </si>
  <si>
    <t>Kazakhstan</t>
  </si>
  <si>
    <t>Kenya</t>
  </si>
  <si>
    <t>Korea</t>
  </si>
  <si>
    <t>Korea, D.P.R.</t>
  </si>
  <si>
    <t>Kuwait</t>
  </si>
  <si>
    <t>Kyrgyzstan</t>
  </si>
  <si>
    <t>Laos</t>
  </si>
  <si>
    <t>Latvia</t>
  </si>
  <si>
    <t>Lebanon</t>
  </si>
  <si>
    <t>Liberia</t>
  </si>
  <si>
    <t>Libya</t>
  </si>
  <si>
    <t>Liechtenstein</t>
  </si>
  <si>
    <t>Lithuania</t>
  </si>
  <si>
    <t>Luxembourg</t>
  </si>
  <si>
    <t>Macau</t>
  </si>
  <si>
    <t>Macedonia</t>
  </si>
  <si>
    <t>Madagascar</t>
  </si>
  <si>
    <t>Malawi</t>
  </si>
  <si>
    <t>Malaysia</t>
  </si>
  <si>
    <t>Mali</t>
  </si>
  <si>
    <t>Malta</t>
  </si>
  <si>
    <t>Mauritius</t>
  </si>
  <si>
    <t>Mexico</t>
  </si>
  <si>
    <t>Moldova</t>
  </si>
  <si>
    <t>Mongolia</t>
  </si>
  <si>
    <t>Montenegro</t>
  </si>
  <si>
    <t>Montserrat</t>
  </si>
  <si>
    <t>Morocco</t>
  </si>
  <si>
    <t>Mozambique</t>
  </si>
  <si>
    <t>Myanmar</t>
  </si>
  <si>
    <t>Namibia</t>
  </si>
  <si>
    <t>Netherlands</t>
  </si>
  <si>
    <t>Netherlands Antilles</t>
  </si>
  <si>
    <t>New Zealand</t>
  </si>
  <si>
    <t>Nicaragua</t>
  </si>
  <si>
    <t>Niger</t>
  </si>
  <si>
    <t>Nigeria</t>
  </si>
  <si>
    <t>Norway</t>
  </si>
  <si>
    <t>Oman</t>
  </si>
  <si>
    <t>Pakistan</t>
  </si>
  <si>
    <t>Palestinian Authority</t>
  </si>
  <si>
    <t>Panama</t>
  </si>
  <si>
    <t>Papua New Guinea</t>
  </si>
  <si>
    <t>Paraguay</t>
  </si>
  <si>
    <t>Peru</t>
  </si>
  <si>
    <t>Philippines</t>
  </si>
  <si>
    <t>Poland</t>
  </si>
  <si>
    <t>Portugal</t>
  </si>
  <si>
    <t>Qatar</t>
  </si>
  <si>
    <t>Ras Al Khaimah (Emirate of)</t>
  </si>
  <si>
    <t>Reunion</t>
  </si>
  <si>
    <t>Romania</t>
  </si>
  <si>
    <t>Russia</t>
  </si>
  <si>
    <t>Rwanda</t>
  </si>
  <si>
    <t>Saint Lucia</t>
  </si>
  <si>
    <t>Saudi Arabia</t>
  </si>
  <si>
    <t>Senegal</t>
  </si>
  <si>
    <t>Serbia</t>
  </si>
  <si>
    <t>Sharjah</t>
  </si>
  <si>
    <t>Sierra Leone</t>
  </si>
  <si>
    <t>Singapore</t>
  </si>
  <si>
    <t>Slovakia</t>
  </si>
  <si>
    <t>Slovenia</t>
  </si>
  <si>
    <t>Solomon Islands</t>
  </si>
  <si>
    <t>Somalia</t>
  </si>
  <si>
    <t>South Africa</t>
  </si>
  <si>
    <t>Spain</t>
  </si>
  <si>
    <t>Sri Lanka</t>
  </si>
  <si>
    <t>St. Maarten</t>
  </si>
  <si>
    <t>St. Vincent &amp; the Grenadines</t>
  </si>
  <si>
    <t>Sudan</t>
  </si>
  <si>
    <t>Suriname</t>
  </si>
  <si>
    <t>Swaziland</t>
  </si>
  <si>
    <t>Sweden</t>
  </si>
  <si>
    <t>Switzerland</t>
  </si>
  <si>
    <t>Syria</t>
  </si>
  <si>
    <t>Taiwan</t>
  </si>
  <si>
    <t>Tajikistan</t>
  </si>
  <si>
    <t>Tanzania</t>
  </si>
  <si>
    <t>Thailand</t>
  </si>
  <si>
    <t>Togo</t>
  </si>
  <si>
    <t>Trinidad &amp; Tobago</t>
  </si>
  <si>
    <t>Tunisia</t>
  </si>
  <si>
    <t>Turkey</t>
  </si>
  <si>
    <t>Turks &amp; Caicos Islands</t>
  </si>
  <si>
    <t>Uganda</t>
  </si>
  <si>
    <t>Ukraine</t>
  </si>
  <si>
    <t>United Arab Emirates</t>
  </si>
  <si>
    <t>Uruguay</t>
  </si>
  <si>
    <t>Venezuela</t>
  </si>
  <si>
    <t>Vietnam</t>
  </si>
  <si>
    <t>Yemen, Republic</t>
  </si>
  <si>
    <t>Zambia</t>
  </si>
  <si>
    <t>Zimbabwe</t>
  </si>
  <si>
    <t>Default Spread</t>
  </si>
  <si>
    <t>Africa &amp; Mid East</t>
  </si>
  <si>
    <t>Australia, NZ &amp; Canada</t>
  </si>
  <si>
    <t>Latin America &amp; Caribbean</t>
  </si>
  <si>
    <t>US</t>
  </si>
  <si>
    <t>Europe</t>
  </si>
  <si>
    <t>Emerging Markets</t>
  </si>
  <si>
    <t>Small Asia (No India, China &amp; Japan)</t>
  </si>
  <si>
    <t>Global</t>
  </si>
  <si>
    <t>First X months: Last year</t>
  </si>
  <si>
    <t>First X months: Current year</t>
  </si>
  <si>
    <t>Trailing 12 month</t>
  </si>
  <si>
    <t>R&amp;D expense</t>
  </si>
  <si>
    <t>Interest expenses</t>
  </si>
  <si>
    <t>Cash and cross holdings</t>
  </si>
  <si>
    <t xml:space="preserve">Non-operating assets </t>
  </si>
  <si>
    <t>Lease commitments</t>
  </si>
  <si>
    <t>Year 1</t>
  </si>
  <si>
    <t>Year 2</t>
  </si>
  <si>
    <t>Copy into operating lease worksheet</t>
  </si>
  <si>
    <t>Year 3</t>
  </si>
  <si>
    <t>Year 4</t>
  </si>
  <si>
    <t>Year 5</t>
  </si>
  <si>
    <t>Beyond year 5</t>
  </si>
  <si>
    <t>Current year's lease expense</t>
  </si>
  <si>
    <t>Yes/No</t>
  </si>
  <si>
    <t>Book or Market Value</t>
  </si>
  <si>
    <t>ERP choices</t>
  </si>
  <si>
    <t>Cost of debt</t>
  </si>
  <si>
    <t>B</t>
  </si>
  <si>
    <t>Will input</t>
  </si>
  <si>
    <t>Direct input</t>
  </si>
  <si>
    <t>Single Business(US)</t>
  </si>
  <si>
    <t>Actual rating</t>
  </si>
  <si>
    <t>Single Business(Global)</t>
  </si>
  <si>
    <t>Operating regions</t>
  </si>
  <si>
    <t>Multibusiness(US)</t>
  </si>
</sst>
</file>

<file path=xl/styles.xml><?xml version="1.0" encoding="utf-8"?>
<styleSheet xmlns="http://schemas.openxmlformats.org/spreadsheetml/2006/main">
  <numFmts count="2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quot;$&quot;#,##0_);[Red]\(&quot;$&quot;#,##0\)"/>
    <numFmt numFmtId="165" formatCode="&quot;$&quot;#,##0.00_);[Red]\(&quot;$&quot;#,##0.00\)"/>
    <numFmt numFmtId="166" formatCode="_(&quot;$&quot;* #,##0.00_);_(&quot;$&quot;* \(#,##0.00\);_(&quot;$&quot;* &quot;-&quot;??_);_(@_)"/>
    <numFmt numFmtId="167" formatCode="_(* #,##0.00_);_(* \(#,##0.00\);_(* &quot;-&quot;??_);_(@_)"/>
    <numFmt numFmtId="168" formatCode="&quot;$&quot;#,##0.00"/>
    <numFmt numFmtId="169" formatCode="#,##0.0000"/>
    <numFmt numFmtId="170" formatCode="0.000%"/>
    <numFmt numFmtId="171" formatCode="0.0000%"/>
    <numFmt numFmtId="172" formatCode="_(&quot;$&quot;* #,##0_);_(&quot;$&quot;* \(#,##0\);_(&quot;$&quot;* &quot;-&quot;??_);_(@_)"/>
    <numFmt numFmtId="173" formatCode="0.0000"/>
    <numFmt numFmtId="174" formatCode="_(* #,##0.0_);_(* \(#,##0.0\)_)\ ;_(* 0_)"/>
    <numFmt numFmtId="175" formatCode="_([$$-409]* #,##0.00_);_([$$-409]* \(#,##0.00\);_([$$-409]* &quot;-&quot;??_);_(@_)"/>
    <numFmt numFmtId="176" formatCode="_([$$-409]* #,##0_);_([$$-409]* \(#,##0\);_([$$-409]* &quot;-&quot;??_);_(@_)"/>
    <numFmt numFmtId="9" formatCode="0%"/>
    <numFmt numFmtId="10" formatCode="0.00%"/>
    <numFmt numFmtId="2" formatCode="0.00"/>
    <numFmt numFmtId="4" formatCode="#,##0.00"/>
    <numFmt numFmtId="3" formatCode="#,##0"/>
    <numFmt numFmtId="1" formatCode="0"/>
    <numFmt numFmtId="17" formatCode="MMM-YY"/>
    <numFmt numFmtId="16" formatCode="D-MMM"/>
  </numFmts>
  <fonts count="49">
    <font>
      <name val="Geneva"/>
      <family val="2"/>
      <color rgb="FF000000"/>
      <sz val="9"/>
      <extLst>
        <ext uri="smNativeData">
          <pm:charSpec xmlns:pm="smNativeData" id="1696577006" ulstyle="none" kern="1">
            <pm:latin face="Geneva" sz="180" lang="default"/>
            <pm:cs face="Basic Roman" sz="180" lang="default"/>
            <pm:ea face="Basic Roman" sz="180" lang="default"/>
          </pm:charSpec>
        </ext>
      </extLst>
    </font>
    <font>
      <name val="Basic Sans"/>
      <family val="1"/>
      <color rgb="FF000000"/>
      <sz val="10"/>
      <extLst>
        <ext uri="smNativeData">
          <pm:charSpec xmlns:pm="smNativeData" id="1696577006" ulstyle="none" kern="1">
            <pm:latin face="Basic Sans" sz="200" lang="default"/>
            <pm:cs face="Basic Roman" sz="200" lang="default"/>
            <pm:ea face="Basic Roman" sz="200" lang="default"/>
          </pm:charSpec>
        </ext>
      </extLst>
    </font>
    <font>
      <name val="Calibri"/>
      <family val="2"/>
      <color rgb="FF000000"/>
      <sz val="12"/>
      <extLst>
        <ext uri="smNativeData">
          <pm:charSpec xmlns:pm="smNativeData" id="1696577006" ulstyle="none" kern="1">
            <pm:latin face="Calibri" sz="240" lang="default"/>
            <pm:cs face="Basic Roman" sz="240" lang="default"/>
            <pm:ea face="Basic Roman" sz="240" lang="default"/>
          </pm:charSpec>
        </ext>
      </extLst>
    </font>
    <font>
      <name val="Geneva"/>
      <family val="2"/>
      <i/>
      <color rgb="FF000000"/>
      <sz val="9"/>
      <extLst>
        <ext uri="smNativeData">
          <pm:charSpec xmlns:pm="smNativeData" id="1696577006" ulstyle="none" kern="1">
            <pm:latin face="Geneva" sz="180" lang="default" i="1"/>
            <pm:cs face="Basic Roman" sz="180" lang="default" i="1"/>
            <pm:ea face="Basic Roman" sz="180" lang="default" i="1"/>
          </pm:charSpec>
        </ext>
      </extLst>
    </font>
    <font>
      <name val="Helv"/>
      <color rgb="FF000000"/>
      <sz val="9"/>
      <extLst>
        <ext uri="smNativeData">
          <pm:charSpec xmlns:pm="smNativeData" id="1696577006" ulstyle="none" kern="1">
            <pm:latin face="Helv" sz="180" lang="default"/>
            <pm:cs face="Basic Roman" sz="180" lang="default"/>
            <pm:ea face="Basic Roman" sz="180" lang="default"/>
          </pm:charSpec>
        </ext>
      </extLst>
    </font>
    <font>
      <name val="Arial"/>
      <family val="2"/>
      <color rgb="FF000000"/>
      <sz val="12"/>
      <extLst>
        <ext uri="smNativeData">
          <pm:charSpec xmlns:pm="smNativeData" id="1696577006" ulstyle="none" kern="1">
            <pm:latin face="Arial" sz="240" lang="default"/>
            <pm:cs face="Basic Roman" sz="240" lang="default"/>
            <pm:ea face="Basic Roman" sz="240" lang="default"/>
          </pm:charSpec>
        </ext>
      </extLst>
    </font>
    <font>
      <name val="Times"/>
      <b/>
      <color rgb="FF000000"/>
      <sz val="14"/>
      <extLst>
        <ext uri="smNativeData">
          <pm:charSpec xmlns:pm="smNativeData" id="1696577006" ulstyle="none" kern="1">
            <pm:latin face="Times" sz="280" lang="default" weight="bold"/>
            <pm:cs face="Basic Roman" sz="280" lang="default" weight="bold"/>
            <pm:ea face="Basic Roman" sz="280" lang="default" weight="bold"/>
          </pm:charSpec>
        </ext>
      </extLst>
    </font>
    <font>
      <name val="Geneva"/>
      <family val="2"/>
      <b/>
      <color rgb="FF000000"/>
      <sz val="14"/>
      <extLst>
        <ext uri="smNativeData">
          <pm:charSpec xmlns:pm="smNativeData" id="1696577006" ulstyle="none" kern="1">
            <pm:latin face="Geneva" sz="280" lang="default" weight="bold"/>
            <pm:cs face="Basic Roman" sz="280" lang="default" weight="bold"/>
            <pm:ea face="Basic Roman" sz="280" lang="default" weight="bold"/>
          </pm:charSpec>
        </ext>
      </extLst>
    </font>
    <font>
      <name val="Times"/>
      <color rgb="FF000000"/>
      <sz val="10"/>
      <extLst>
        <ext uri="smNativeData">
          <pm:charSpec xmlns:pm="smNativeData" id="1696577006" ulstyle="none" kern="1">
            <pm:latin face="Times" sz="200" lang="default"/>
            <pm:cs face="Basic Roman" sz="200" lang="default"/>
            <pm:ea face="Basic Roman" sz="200" lang="default"/>
          </pm:charSpec>
        </ext>
      </extLst>
    </font>
    <font>
      <name val="Times"/>
      <b/>
      <i/>
      <color rgb="FF000000"/>
      <sz val="10"/>
      <extLst>
        <ext uri="smNativeData">
          <pm:charSpec xmlns:pm="smNativeData" id="1696577006" ulstyle="none" kern="1">
            <pm:latin face="Times" sz="200" lang="default" weight="bold" i="1"/>
            <pm:cs face="Basic Roman" sz="200" lang="default" weight="bold" i="1"/>
            <pm:ea face="Basic Roman" sz="200" lang="default" weight="bold" i="1"/>
          </pm:charSpec>
        </ext>
      </extLst>
    </font>
    <font>
      <name val="Times"/>
      <i/>
      <color rgb="FF000000"/>
      <sz val="10"/>
      <extLst>
        <ext uri="smNativeData">
          <pm:charSpec xmlns:pm="smNativeData" id="1696577006" ulstyle="none" kern="1">
            <pm:latin face="Times" sz="200" lang="default" i="1"/>
            <pm:cs face="Basic Roman" sz="200" lang="default" i="1"/>
            <pm:ea face="Basic Roman" sz="200" lang="default" i="1"/>
          </pm:charSpec>
        </ext>
      </extLst>
    </font>
    <font>
      <name val="Geneva"/>
      <family val="2"/>
      <i/>
      <color rgb="FF000000"/>
      <sz val="10"/>
      <extLst>
        <ext uri="smNativeData">
          <pm:charSpec xmlns:pm="smNativeData" id="1696577006" ulstyle="none" kern="1">
            <pm:latin face="Geneva" sz="200" lang="default" i="1"/>
            <pm:cs face="Basic Roman" sz="200" lang="default" i="1"/>
            <pm:ea face="Basic Roman" sz="200" lang="default" i="1"/>
          </pm:charSpec>
        </ext>
      </extLst>
    </font>
    <font>
      <name val="Times"/>
      <b/>
      <color rgb="FF000000"/>
      <sz val="10"/>
      <extLst>
        <ext uri="smNativeData">
          <pm:charSpec xmlns:pm="smNativeData" id="1696577006" ulstyle="none" kern="1">
            <pm:latin face="Times" sz="200" lang="default" weight="bold"/>
            <pm:cs face="Basic Roman" sz="200" lang="default" weight="bold"/>
            <pm:ea face="Basic Roman" sz="200" lang="default" weight="bold"/>
          </pm:charSpec>
        </ext>
      </extLst>
    </font>
    <font>
      <name val="Geneva"/>
      <family val="2"/>
      <b/>
      <color rgb="FF000000"/>
      <sz val="9"/>
      <extLst>
        <ext uri="smNativeData">
          <pm:charSpec xmlns:pm="smNativeData" id="1696577006" ulstyle="none" kern="1">
            <pm:latin face="Geneva" sz="180" lang="default" weight="bold"/>
            <pm:cs face="Basic Roman" sz="180" lang="default" weight="bold"/>
            <pm:ea face="Basic Roman" sz="180" lang="default" weight="bold"/>
          </pm:charSpec>
        </ext>
      </extLst>
    </font>
    <font>
      <name val="Times"/>
      <b/>
      <color rgb="FF000000"/>
      <sz val="12"/>
      <extLst>
        <ext uri="smNativeData">
          <pm:charSpec xmlns:pm="smNativeData" id="1696577006" ulstyle="none" kern="1">
            <pm:latin face="Times" sz="240" lang="default" weight="bold"/>
            <pm:cs face="Basic Roman" sz="240" lang="default" weight="bold"/>
            <pm:ea face="Basic Roman" sz="240" lang="default" weight="bold"/>
          </pm:charSpec>
        </ext>
      </extLst>
    </font>
    <font>
      <name val="Geneva"/>
      <family val="2"/>
      <color rgb="FF000000"/>
      <sz val="10"/>
      <extLst>
        <ext uri="smNativeData">
          <pm:charSpec xmlns:pm="smNativeData" id="1696577006" ulstyle="none" kern="1">
            <pm:latin face="Geneva" sz="200" lang="default"/>
            <pm:cs face="Basic Roman" sz="200" lang="default"/>
            <pm:ea face="Basic Roman" sz="200" lang="default"/>
          </pm:charSpec>
        </ext>
      </extLst>
    </font>
    <font>
      <name val="Times"/>
      <i/>
      <color rgb="FF000000"/>
      <sz val="12"/>
      <extLst>
        <ext uri="smNativeData">
          <pm:charSpec xmlns:pm="smNativeData" id="1696577006" ulstyle="none" kern="1">
            <pm:latin face="Times" sz="240" lang="default" i="1"/>
            <pm:cs face="Basic Roman" sz="240" lang="default" i="1"/>
            <pm:ea face="Basic Roman" sz="240" lang="default" i="1"/>
          </pm:charSpec>
        </ext>
      </extLst>
    </font>
    <font>
      <name val="Times"/>
      <color rgb="FF000000"/>
      <sz val="12"/>
      <extLst>
        <ext uri="smNativeData">
          <pm:charSpec xmlns:pm="smNativeData" id="1696577006" ulstyle="none" kern="1">
            <pm:latin face="Times" sz="240" lang="default"/>
            <pm:cs face="Basic Roman" sz="240" lang="default"/>
            <pm:ea face="Basic Roman" sz="240" lang="default"/>
          </pm:charSpec>
        </ext>
      </extLst>
    </font>
    <font>
      <name val="Times"/>
      <b/>
      <i/>
      <color rgb="FF000000"/>
      <sz val="12"/>
      <u val="single"/>
      <extLst>
        <ext uri="smNativeData">
          <pm:charSpec xmlns:pm="smNativeData" id="1696577006" ulstyle="single" kern="1">
            <pm:latin face="Times" sz="240" lang="default" weight="bold" i="1"/>
            <pm:cs face="Basic Roman" sz="240" lang="default" weight="bold" i="1"/>
            <pm:ea face="Basic Roman" sz="240" lang="default" weight="bold" i="1"/>
          </pm:charSpec>
        </ext>
      </extLst>
    </font>
    <font>
      <name val="Helv"/>
      <b/>
      <color rgb="FF000000"/>
      <sz val="10"/>
      <extLst>
        <ext uri="smNativeData">
          <pm:charSpec xmlns:pm="smNativeData" id="1696577006" ulstyle="none" kern="1">
            <pm:latin face="Helv" sz="200" lang="default" weight="bold"/>
            <pm:cs face="Basic Roman" sz="200" lang="default" weight="bold"/>
            <pm:ea face="Basic Roman" sz="200" lang="default" weight="bold"/>
          </pm:charSpec>
        </ext>
      </extLst>
    </font>
    <font>
      <name val="Helv"/>
      <color rgb="FF000000"/>
      <sz val="10"/>
      <extLst>
        <ext uri="smNativeData">
          <pm:charSpec xmlns:pm="smNativeData" id="1696577006" ulstyle="none" kern="1">
            <pm:latin face="Helv" sz="200" lang="default"/>
            <pm:cs face="Basic Roman" sz="200" lang="default"/>
            <pm:ea face="Basic Roman" sz="200" lang="default"/>
          </pm:charSpec>
        </ext>
      </extLst>
    </font>
    <font>
      <name val="Helv"/>
      <b/>
      <i/>
      <color rgb="FF000000"/>
      <sz val="10"/>
      <extLst>
        <ext uri="smNativeData">
          <pm:charSpec xmlns:pm="smNativeData" id="1696577006" ulstyle="none" kern="1">
            <pm:latin face="Helv" sz="200" lang="default" weight="bold" i="1"/>
            <pm:cs face="Basic Roman" sz="200" lang="default" weight="bold" i="1"/>
            <pm:ea face="Basic Roman" sz="200" lang="default" weight="bold" i="1"/>
          </pm:charSpec>
        </ext>
      </extLst>
    </font>
    <font>
      <name val="Helv"/>
      <i/>
      <color rgb="FF000000"/>
      <sz val="10"/>
      <extLst>
        <ext uri="smNativeData">
          <pm:charSpec xmlns:pm="smNativeData" id="1696577006" ulstyle="none" kern="1">
            <pm:latin face="Helv" sz="200" lang="default" i="1"/>
            <pm:cs face="Basic Roman" sz="200" lang="default" i="1"/>
            <pm:ea face="Basic Roman" sz="200" lang="default" i="1"/>
          </pm:charSpec>
        </ext>
      </extLst>
    </font>
    <font>
      <name val="Times"/>
      <b/>
      <i/>
      <color rgb="FF000000"/>
      <sz val="14"/>
      <extLst>
        <ext uri="smNativeData">
          <pm:charSpec xmlns:pm="smNativeData" id="1696577006" ulstyle="none" kern="1">
            <pm:latin face="Times" sz="280" lang="default" weight="bold" i="1"/>
            <pm:cs face="Basic Roman" sz="280" lang="default" weight="bold" i="1"/>
            <pm:ea face="Basic Roman" sz="280" lang="default" weight="bold" i="1"/>
          </pm:charSpec>
        </ext>
      </extLst>
    </font>
    <font>
      <name val="Times"/>
      <b/>
      <i/>
      <color rgb="FF000000"/>
      <sz val="12"/>
      <extLst>
        <ext uri="smNativeData">
          <pm:charSpec xmlns:pm="smNativeData" id="1696577006" ulstyle="none" kern="1">
            <pm:latin face="Times" sz="240" lang="default" weight="bold" i="1"/>
            <pm:cs face="Basic Roman" sz="240" lang="default" weight="bold" i="1"/>
            <pm:ea face="Basic Roman" sz="240" lang="default" weight="bold" i="1"/>
          </pm:charSpec>
        </ext>
      </extLst>
    </font>
    <font>
      <name val="Geneva"/>
      <family val="2"/>
      <i/>
      <color rgb="FF000000"/>
      <sz val="12"/>
      <extLst>
        <ext uri="smNativeData">
          <pm:charSpec xmlns:pm="smNativeData" id="1696577006" ulstyle="none" kern="1">
            <pm:latin face="Geneva" sz="240" lang="default" i="1"/>
            <pm:cs face="Basic Roman" sz="240" lang="default" i="1"/>
            <pm:ea face="Basic Roman" sz="240" lang="default" i="1"/>
          </pm:charSpec>
        </ext>
      </extLst>
    </font>
    <font>
      <name val="Geneva"/>
      <family val="2"/>
      <b/>
      <color rgb="FF000000"/>
      <sz val="10"/>
      <extLst>
        <ext uri="smNativeData">
          <pm:charSpec xmlns:pm="smNativeData" id="1696577006" ulstyle="none" kern="1">
            <pm:latin face="Geneva" sz="200" lang="default" weight="bold"/>
            <pm:cs face="Basic Roman" sz="200" lang="default" weight="bold"/>
            <pm:ea face="Basic Roman" sz="200" lang="default" weight="bold"/>
          </pm:charSpec>
        </ext>
      </extLst>
    </font>
    <font>
      <name val="Arial"/>
      <family val="2"/>
      <b/>
      <color rgb="FF000000"/>
      <sz val="10"/>
      <extLst>
        <ext uri="smNativeData">
          <pm:charSpec xmlns:pm="smNativeData" id="1696577006" ulstyle="none" kern="1">
            <pm:latin face="Arial" sz="200" lang="default" weight="bold"/>
            <pm:cs face="Basic Roman" sz="200" lang="default" weight="bold"/>
            <pm:ea face="Basic Roman" sz="200" lang="default" weight="bold"/>
          </pm:charSpec>
        </ext>
      </extLst>
    </font>
    <font>
      <name val="Arial"/>
      <family val="2"/>
      <color rgb="FF000000"/>
      <sz val="10"/>
      <extLst>
        <ext uri="smNativeData">
          <pm:charSpec xmlns:pm="smNativeData" id="1696577006" ulstyle="none" kern="1">
            <pm:latin face="Arial" sz="200" lang="default"/>
            <pm:cs face="Basic Roman" sz="200" lang="default"/>
            <pm:ea face="Basic Roman" sz="200" lang="default"/>
          </pm:charSpec>
        </ext>
      </extLst>
    </font>
    <font>
      <name val="Times"/>
      <color rgb="FF000000"/>
      <sz val="9"/>
      <extLst>
        <ext uri="smNativeData">
          <pm:charSpec xmlns:pm="smNativeData" id="1696577006" ulstyle="none" kern="1">
            <pm:latin face="Times" sz="180" lang="default"/>
            <pm:cs face="Basic Roman" sz="180" lang="default"/>
            <pm:ea face="Basic Roman" sz="180" lang="default"/>
          </pm:charSpec>
        </ext>
      </extLst>
    </font>
    <font>
      <name val="Times"/>
      <b/>
      <color rgb="FF000000"/>
      <sz val="9"/>
      <extLst>
        <ext uri="smNativeData">
          <pm:charSpec xmlns:pm="smNativeData" id="1696577006" ulstyle="none" kern="1">
            <pm:latin face="Times" sz="180" lang="default" weight="bold"/>
            <pm:cs face="Basic Roman" sz="180" lang="default" weight="bold"/>
            <pm:ea face="Basic Roman" sz="180" lang="default" weight="bold"/>
          </pm:charSpec>
        </ext>
      </extLst>
    </font>
    <font>
      <name val="Helv"/>
      <b/>
      <color rgb="FF000000"/>
      <sz val="9"/>
      <extLst>
        <ext uri="smNativeData">
          <pm:charSpec xmlns:pm="smNativeData" id="1696577006" ulstyle="none" kern="1">
            <pm:latin face="Helv" sz="180" lang="default" weight="bold"/>
            <pm:cs face="Basic Roman" sz="180" lang="default" weight="bold"/>
            <pm:ea face="Basic Roman" sz="180" lang="default" weight="bold"/>
          </pm:charSpec>
        </ext>
      </extLst>
    </font>
    <font>
      <name val="Times"/>
      <i/>
      <color rgb="FF000000"/>
      <sz val="14"/>
      <extLst>
        <ext uri="smNativeData">
          <pm:charSpec xmlns:pm="smNativeData" id="1696577006" ulstyle="none" kern="1">
            <pm:latin face="Times" sz="280" lang="default" i="1"/>
            <pm:cs face="Basic Roman" sz="280" lang="default" i="1"/>
            <pm:ea face="Basic Roman" sz="280" lang="default" i="1"/>
          </pm:charSpec>
        </ext>
      </extLst>
    </font>
    <font>
      <name val="Arial"/>
      <family val="2"/>
      <color rgb="FF000000"/>
      <sz val="8"/>
      <extLst>
        <ext uri="smNativeData">
          <pm:charSpec xmlns:pm="smNativeData" id="1696577006" ulstyle="none" kern="1">
            <pm:latin face="Arial" sz="160" lang="default"/>
            <pm:cs face="Basic Roman" sz="160" lang="default"/>
            <pm:ea face="Basic Roman" sz="160" lang="default"/>
          </pm:charSpec>
        </ext>
      </extLst>
    </font>
    <font>
      <name val="Calibri"/>
      <family val="2"/>
      <color rgb="FF000000"/>
      <sz val="10"/>
      <extLst>
        <ext uri="smNativeData">
          <pm:charSpec xmlns:pm="smNativeData" id="1696577006" ulstyle="none" kern="1">
            <pm:latin face="Calibri" sz="200" lang="default"/>
            <pm:cs face="Basic Roman" sz="200" lang="default"/>
            <pm:ea face="Basic Roman" sz="200" lang="default"/>
          </pm:charSpec>
        </ext>
      </extLst>
    </font>
    <font>
      <name val="Helv"/>
      <i/>
      <color rgb="FF000000"/>
      <sz val="9"/>
      <extLst>
        <ext uri="smNativeData">
          <pm:charSpec xmlns:pm="smNativeData" id="1696577006" ulstyle="none" kern="1">
            <pm:latin face="Helv" sz="180" lang="default" i="1"/>
            <pm:cs face="Basic Roman" sz="180" lang="default" i="1"/>
            <pm:ea face="Basic Roman" sz="180" lang="default" i="1"/>
          </pm:charSpec>
        </ext>
      </extLst>
    </font>
    <font>
      <name val="Calibri"/>
      <family val="2"/>
      <color rgb="FF000000"/>
      <sz val="9"/>
      <extLst>
        <ext uri="smNativeData">
          <pm:charSpec xmlns:pm="smNativeData" id="1696577006" ulstyle="none" kern="1">
            <pm:latin face="Calibri" sz="180" lang="default"/>
            <pm:cs face="Basic Roman" sz="180" lang="default"/>
            <pm:ea face="Basic Roman" sz="180" lang="default"/>
          </pm:charSpec>
        </ext>
      </extLst>
    </font>
    <font>
      <name val="Calibri"/>
      <family val="2"/>
      <i/>
      <color rgb="FF000000"/>
      <sz val="12"/>
      <extLst>
        <ext uri="smNativeData">
          <pm:charSpec xmlns:pm="smNativeData" id="1696577006" ulstyle="none" kern="1">
            <pm:latin face="Calibri" sz="240" lang="default" i="1"/>
            <pm:cs face="Basic Roman" sz="240" lang="default" i="1"/>
            <pm:ea face="Basic Roman" sz="240" lang="default" i="1"/>
          </pm:charSpec>
        </ext>
      </extLst>
    </font>
    <font>
      <name val="Calibri"/>
      <family val="2"/>
      <b/>
      <color rgb="FF000000"/>
      <sz val="12"/>
      <extLst>
        <ext uri="smNativeData">
          <pm:charSpec xmlns:pm="smNativeData" id="1696577006" ulstyle="none" kern="1">
            <pm:latin face="Calibri" sz="240" lang="default" weight="bold"/>
            <pm:cs face="Basic Roman" sz="240" lang="default" weight="bold"/>
            <pm:ea face="Basic Roman" sz="240" lang="default" weight="bold"/>
          </pm:charSpec>
        </ext>
      </extLst>
    </font>
    <font>
      <name val="Calibri"/>
      <family val="2"/>
      <color rgb="FFFF0000"/>
      <sz val="12"/>
      <extLst>
        <ext uri="smNativeData">
          <pm:charSpec xmlns:pm="smNativeData" id="1696577006" fgClr="FF0000" ulstyle="none" kern="1">
            <pm:latin face="Calibri" sz="240" lang="default"/>
            <pm:cs face="Basic Roman" sz="240" lang="default"/>
            <pm:ea face="Basic Roman" sz="240" lang="default"/>
          </pm:charSpec>
        </ext>
      </extLst>
    </font>
    <font>
      <name val="Helv"/>
      <i/>
      <color rgb="FFFF0000"/>
      <sz val="10"/>
      <extLst>
        <ext uri="smNativeData">
          <pm:charSpec xmlns:pm="smNativeData" id="1696577006" fgClr="FF0000" ulstyle="none" kern="1">
            <pm:latin face="Helv" sz="200" lang="default" i="1"/>
            <pm:cs face="Basic Roman" sz="200" lang="default" i="1"/>
            <pm:ea face="Basic Roman" sz="200" lang="default" i="1"/>
          </pm:charSpec>
        </ext>
      </extLst>
    </font>
    <font>
      <name val="Times"/>
      <color rgb="FFFF0000"/>
      <sz val="12"/>
      <extLst>
        <ext uri="smNativeData">
          <pm:charSpec xmlns:pm="smNativeData" id="1696577006" fgClr="FF0000" ulstyle="none" kern="1">
            <pm:latin face="Times" sz="240" lang="default"/>
            <pm:cs face="Basic Roman" sz="240" lang="default"/>
            <pm:ea face="Basic Roman" sz="240" lang="default"/>
          </pm:charSpec>
        </ext>
      </extLst>
    </font>
    <font>
      <name val="Helv"/>
      <i/>
      <color rgb="FFFF0000"/>
      <sz val="9"/>
      <extLst>
        <ext uri="smNativeData">
          <pm:charSpec xmlns:pm="smNativeData" id="1696577006" fgClr="FF0000" ulstyle="none" kern="1">
            <pm:latin face="Helv" sz="180" lang="default" i="1"/>
            <pm:cs face="Basic Roman" sz="180" lang="default" i="1"/>
            <pm:ea face="Basic Roman" sz="180" lang="default" i="1"/>
          </pm:charSpec>
        </ext>
      </extLst>
    </font>
    <font>
      <name val="Calibri"/>
      <family val="2"/>
      <b/>
      <i/>
      <color rgb="FF000000"/>
      <sz val="12"/>
      <extLst>
        <ext uri="smNativeData">
          <pm:charSpec xmlns:pm="smNativeData" id="1696577006" ulstyle="none" kern="1">
            <pm:latin face="Calibri" sz="240" lang="default" weight="bold" i="1"/>
            <pm:cs face="Basic Roman" sz="240" lang="default" weight="bold" i="1"/>
            <pm:ea face="Basic Roman" sz="240" lang="default" weight="bold" i="1"/>
          </pm:charSpec>
        </ext>
      </extLst>
    </font>
    <font>
      <name val="Calibri (Body)"/>
      <i/>
      <color rgb="FFFF0000"/>
      <sz val="12"/>
      <extLst>
        <ext uri="smNativeData">
          <pm:charSpec xmlns:pm="smNativeData" id="1696577006" fgClr="FF0000" ulstyle="none" kern="1">
            <pm:latin face="Calibri (Body)" sz="240" lang="default" i="1"/>
            <pm:cs face="Basic Roman" sz="240" lang="default" i="1"/>
            <pm:ea face="Basic Roman" sz="240" lang="default" i="1"/>
          </pm:charSpec>
        </ext>
      </extLst>
    </font>
    <font>
      <name val="Geneva"/>
      <family val="2"/>
      <i/>
      <color rgb="FFFF0000"/>
      <sz val="12"/>
      <extLst>
        <ext uri="smNativeData">
          <pm:charSpec xmlns:pm="smNativeData" id="1696577006" fgClr="FF0000" ulstyle="none" kern="1">
            <pm:latin face="Geneva" sz="240" lang="default" i="1"/>
            <pm:cs face="Basic Roman" sz="240" lang="default" i="1"/>
            <pm:ea face="Basic Roman" sz="240" lang="default" i="1"/>
          </pm:charSpec>
        </ext>
      </extLst>
    </font>
    <font>
      <name val="Calibri (Body)"/>
      <color rgb="FFFF0000"/>
      <sz val="12"/>
      <extLst>
        <ext uri="smNativeData">
          <pm:charSpec xmlns:pm="smNativeData" id="1696577006" fgClr="FF0000" ulstyle="none" kern="1">
            <pm:latin face="Calibri (Body)" sz="240" lang="default"/>
            <pm:cs face="Basic Roman" sz="240" lang="default"/>
            <pm:ea face="Basic Roman" sz="240" lang="default"/>
          </pm:charSpec>
        </ext>
      </extLst>
    </font>
    <font>
      <name val="Arial"/>
      <family val="2"/>
      <color rgb="FFFF0000"/>
      <sz val="10"/>
      <extLst>
        <ext uri="smNativeData">
          <pm:charSpec xmlns:pm="smNativeData" id="1696577006" fgClr="FF0000" ulstyle="none" kern="1">
            <pm:latin face="Arial" sz="200" lang="default"/>
            <pm:cs face="Basic Roman" sz="200" lang="default"/>
            <pm:ea face="Basic Roman" sz="200" lang="default"/>
          </pm:charSpec>
        </ext>
      </extLst>
    </font>
    <font>
      <name val="Helv"/>
      <b/>
      <color rgb="FF000000"/>
      <sz val="10"/>
      <extLst>
        <ext uri="smNativeData">
          <pm:charSpec xmlns:pm="smNativeData" id="1696577006" ulstyle="none" kern="1">
            <pm:latin face="Helv" sz="200" lang="default" weight="bold"/>
            <pm:cs face="Basic Roman" sz="200" lang="default"/>
            <pm:ea face="Basic Roman" sz="200" lang="default"/>
          </pm:charSpec>
        </ext>
      </extLst>
    </font>
  </fonts>
  <fills count="76">
    <fill>
      <patternFill patternType="none"/>
    </fill>
    <fill>
      <patternFill patternType="gray125"/>
    </fill>
    <fill>
      <patternFill patternType="none"/>
    </fill>
    <fill>
      <patternFill patternType="solid">
        <fgColor rgb="FFCCFFCC"/>
        <bgColor rgb="FFFFFFFF"/>
        <extLst>
          <ext uri="smNativeData">
            <pm:shade xmlns:pm="smNativeData" id="1696577006" type="1" fgLvl="100" fgClr="00CCFFCC" bgLvl="0" bgClr="00000000"/>
          </ext>
        </extLst>
      </patternFill>
    </fill>
    <fill>
      <patternFill patternType="none"/>
    </fill>
    <fill>
      <patternFill patternType="solid">
        <fgColor rgb="FFFCF305"/>
        <bgColor rgb="FFFFFFFF"/>
        <extLst>
          <ext uri="smNativeData">
            <pm:shade xmlns:pm="smNativeData" id="1696577006" type="1" fgLvl="100" fgClr="00FCF305" bgLvl="0" bgClr="00000000"/>
          </ext>
        </extLst>
      </patternFill>
    </fill>
    <fill>
      <patternFill patternType="none"/>
    </fill>
    <fill>
      <patternFill patternType="solid">
        <fgColor rgb="FFCCFFCC"/>
        <bgColor rgb="FFFFFFFF"/>
        <extLst>
          <ext uri="smNativeData">
            <pm:shade xmlns:pm="smNativeData" id="1696577006" type="1" fgLvl="100" fgClr="00CCFFCC" bgLvl="0" bgClr="00000000"/>
          </ext>
        </extLst>
      </patternFill>
    </fill>
    <fill>
      <patternFill patternType="solid">
        <fgColor rgb="FFCCFFCC"/>
        <bgColor rgb="FFFFFFFF"/>
        <extLst>
          <ext uri="smNativeData">
            <pm:shade xmlns:pm="smNativeData" id="1696577006" type="1" fgLvl="100" fgClr="00CCFFCC" bgLvl="0" bgClr="00000000"/>
          </ext>
        </extLst>
      </patternFill>
    </fill>
    <fill>
      <patternFill patternType="solid">
        <fgColor rgb="FFCCFFCC"/>
        <bgColor rgb="FFFFFFFF"/>
        <extLst>
          <ext uri="smNativeData">
            <pm:shade xmlns:pm="smNativeData" id="1696577006" type="1" fgLvl="100" fgClr="00CCFFCC" bgLvl="0" bgClr="00000000"/>
          </ext>
        </extLst>
      </patternFill>
    </fill>
    <fill>
      <patternFill patternType="none"/>
    </fill>
    <fill>
      <patternFill patternType="none"/>
    </fill>
    <fill>
      <patternFill patternType="none"/>
    </fill>
    <fill>
      <patternFill patternType="none"/>
    </fill>
    <fill>
      <patternFill patternType="none"/>
    </fill>
    <fill>
      <patternFill patternType="solid">
        <fgColor rgb="FFFFFF00"/>
        <bgColor rgb="FFFFFFFF"/>
        <extLst>
          <ext uri="smNativeData">
            <pm:shade xmlns:pm="smNativeData" id="1696577006" type="1" fgLvl="100" fgClr="00FFFF00" bgLvl="0" bgClr="00000000"/>
          </ext>
        </extLst>
      </patternFill>
    </fill>
    <fill>
      <patternFill patternType="solid">
        <fgColor rgb="FFFFFFFF"/>
        <bgColor rgb="FFFFFFFF"/>
        <extLst>
          <ext uri="smNativeData">
            <pm:shade xmlns:pm="smNativeData" id="1696577006" type="1" fgLvl="100" fgClr="00FFFFFF" bgLvl="0" bgClr="00000000"/>
          </ext>
        </extLst>
      </patternFill>
    </fill>
    <fill>
      <patternFill patternType="solid">
        <fgColor rgb="FFFFFF00"/>
        <bgColor rgb="FFFFFFFF"/>
        <extLst>
          <ext uri="smNativeData">
            <pm:shade xmlns:pm="smNativeData" id="1696577006" type="1" fgLvl="100" fgClr="00FFFF00" bgLvl="0" bgClr="00000000"/>
          </ext>
        </extLst>
      </patternFill>
    </fill>
    <fill>
      <patternFill patternType="none"/>
    </fill>
    <fill>
      <patternFill patternType="none"/>
    </fill>
    <fill>
      <patternFill patternType="none"/>
    </fill>
    <fill>
      <patternFill patternType="solid">
        <fgColor rgb="FFFF0000"/>
        <bgColor rgb="FFFFFFFF"/>
        <extLst>
          <ext uri="smNativeData">
            <pm:shade xmlns:pm="smNativeData" id="1696577006" type="1" fgLvl="100" fgClr="00FF0000" bgLvl="0" bgClr="00000000"/>
          </ext>
        </extLst>
      </patternFill>
    </fill>
    <fill>
      <patternFill patternType="solid">
        <fgColor rgb="FFCCFFCC"/>
        <bgColor rgb="FFFFFFFF"/>
        <extLst>
          <ext uri="smNativeData">
            <pm:shade xmlns:pm="smNativeData" id="1696577006" type="1" fgLvl="100" fgClr="00CCFFCC" bgLvl="0" bgClr="00000000"/>
          </ext>
        </extLst>
      </patternFill>
    </fill>
    <fill>
      <patternFill patternType="solid">
        <fgColor rgb="FFFFFF00"/>
        <bgColor rgb="FFFFFFFF"/>
        <extLst>
          <ext uri="smNativeData">
            <pm:shade xmlns:pm="smNativeData" id="1696577006" type="1" fgLvl="100" fgClr="00FFFF00" bgLvl="0" bgClr="00000000"/>
          </ext>
        </extLst>
      </patternFill>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FFF00"/>
        <bgColor rgb="FFFFFFFF"/>
        <extLst>
          <ext uri="smNativeData">
            <pm:shade xmlns:pm="smNativeData" id="1696577006" type="1" fgLvl="100" fgClr="00FFFF00" bgLvl="0" bgClr="00000000"/>
          </ext>
        </extLst>
      </patternFill>
    </fill>
    <fill>
      <patternFill patternType="solid">
        <fgColor rgb="FFFFFFFF"/>
        <bgColor rgb="FFFFFFFF"/>
        <extLst>
          <ext uri="smNativeData">
            <pm:shade xmlns:pm="smNativeData" id="1696577006" type="1" fgLvl="100" fgClr="00FFFFFF" bgLvl="0" bgClr="00000000"/>
          </ext>
        </extLst>
      </patternFill>
    </fill>
    <fill>
      <patternFill patternType="none"/>
    </fill>
    <fill>
      <patternFill patternType="none"/>
    </fill>
    <fill>
      <patternFill patternType="solid">
        <fgColor rgb="FFFFFFFF"/>
        <bgColor rgb="FFFFFFFF"/>
        <extLst>
          <ext uri="smNativeData">
            <pm:shade xmlns:pm="smNativeData" id="1696577006" type="1" fgLvl="100" fgClr="00FFFFFF" bgLvl="0" bgClr="00000000"/>
          </ext>
        </extLst>
      </patternFill>
    </fill>
    <fill>
      <patternFill patternType="solid">
        <fgColor rgb="FFFFFFFF"/>
        <bgColor rgb="FFFFFFFF"/>
        <extLst>
          <ext uri="smNativeData">
            <pm:shade xmlns:pm="smNativeData" id="1696577006" type="1" fgLvl="100" fgClr="00FFFFFF" bgLvl="0" bgClr="00000000"/>
          </ext>
        </extLst>
      </patternFill>
    </fill>
    <fill>
      <patternFill patternType="solid">
        <fgColor rgb="FFFFFFFF"/>
        <bgColor rgb="FFFFFFFF"/>
        <extLst>
          <ext uri="smNativeData">
            <pm:shade xmlns:pm="smNativeData" id="1696577006" type="1" fgLvl="100" fgClr="00FFFFFF" bgLvl="0" bgClr="00000000"/>
          </ext>
        </extLst>
      </patternFill>
    </fill>
    <fill>
      <patternFill patternType="solid">
        <fgColor rgb="FFCCFFCC"/>
        <bgColor rgb="FFFFFFFF"/>
        <extLst>
          <ext uri="smNativeData">
            <pm:shade xmlns:pm="smNativeData" id="1696577006" type="1" fgLvl="100" fgClr="00CCFFCC" bgLvl="0" bgClr="00000000"/>
          </ext>
        </extLst>
      </patternFill>
    </fill>
    <fill>
      <patternFill patternType="solid">
        <fgColor rgb="FFCCFFCC"/>
        <bgColor rgb="FFFFFFFF"/>
        <extLst>
          <ext uri="smNativeData">
            <pm:shade xmlns:pm="smNativeData" id="1696577006" type="1" fgLvl="100" fgClr="00CCFFCC" bgLvl="0" bgClr="00000000"/>
          </ext>
        </extLst>
      </patternFill>
    </fill>
    <fill>
      <patternFill patternType="solid">
        <fgColor rgb="FFCCFFCC"/>
        <bgColor rgb="FFFFFFFF"/>
        <extLst>
          <ext uri="smNativeData">
            <pm:shade xmlns:pm="smNativeData" id="1696577006" type="1" fgLvl="100" fgClr="00CCFFCC" bgLvl="0" bgClr="00000000"/>
          </ext>
        </extLst>
      </patternFill>
    </fill>
    <fill>
      <patternFill patternType="solid">
        <fgColor rgb="FFFFFFFF"/>
        <bgColor rgb="FFFFFFFF"/>
        <extLst>
          <ext uri="smNativeData">
            <pm:shade xmlns:pm="smNativeData" id="1696577006" type="1" fgLvl="100" fgClr="00FFFFFF" bgLvl="0" bgClr="00000000"/>
          </ext>
        </extLst>
      </patternFill>
    </fill>
    <fill>
      <patternFill patternType="solid">
        <fgColor rgb="FFFFFFFF"/>
        <bgColor rgb="FFFFFFFF"/>
        <extLst>
          <ext uri="smNativeData">
            <pm:shade xmlns:pm="smNativeData" id="1696577006" type="1" fgLvl="100" fgClr="00FFFFFF" bgLvl="0" bgClr="00000000"/>
          </ext>
        </extLst>
      </patternFill>
    </fill>
    <fill>
      <patternFill patternType="none"/>
    </fill>
    <fill>
      <patternFill patternType="none"/>
    </fill>
    <fill>
      <patternFill patternType="solid">
        <fgColor rgb="FF92D050"/>
        <bgColor rgb="FFFFFFFF"/>
        <extLst>
          <ext uri="smNativeData">
            <pm:shade xmlns:pm="smNativeData" id="1696577006" type="1" fgLvl="100" fgClr="0092D050" bgLvl="0" bgClr="00000000"/>
          </ext>
        </extLst>
      </patternFill>
    </fill>
    <fill>
      <patternFill patternType="solid">
        <fgColor rgb="FF92D050"/>
        <bgColor rgb="FFFFFFFF"/>
        <extLst>
          <ext uri="smNativeData">
            <pm:shade xmlns:pm="smNativeData" id="1696577006" type="1" fgLvl="100" fgClr="0092D050" bgLvl="0" bgClr="00000000"/>
          </ext>
        </extLst>
      </patternFill>
    </fill>
    <fill>
      <patternFill patternType="solid">
        <fgColor rgb="FF92D050"/>
        <bgColor rgb="FFFFFFFF"/>
        <extLst>
          <ext uri="smNativeData">
            <pm:shade xmlns:pm="smNativeData" id="1696577006" type="1" fgLvl="100" fgClr="0092D050" bgLvl="0" bgClr="00000000"/>
          </ext>
        </extLst>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00FF00"/>
        <bgColor rgb="FFFFFFFF"/>
        <extLst>
          <ext uri="smNativeData">
            <pm:shade xmlns:pm="smNativeData" id="1696577006" type="1" fgLvl="100" fgClr="0000FF00" bgLvl="0" bgClr="00000000"/>
          </ext>
        </extLst>
      </patternFill>
    </fill>
    <fill>
      <patternFill patternType="solid">
        <fgColor rgb="FF00FFFF"/>
        <bgColor rgb="FFFFFFFF"/>
        <extLst>
          <ext uri="smNativeData">
            <pm:shade xmlns:pm="smNativeData" id="1696577006" type="1" fgLvl="100" fgClr="0000FFFF" bgLvl="0" bgClr="00000000"/>
          </ext>
        </extLst>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D8D8D8"/>
        <bgColor rgb="FFFFFFFF"/>
        <extLst>
          <ext uri="smNativeData">
            <pm:shade xmlns:pm="smNativeData" id="1696577006" type="1" fgLvl="100" fgClr="00D8D8D8" bgLvl="0" bgClr="00000000"/>
          </ext>
        </extLst>
      </patternFill>
    </fill>
    <fill>
      <patternFill patternType="solid">
        <fgColor rgb="FFCCFFCC"/>
        <bgColor rgb="FFFFFFFF"/>
        <extLst>
          <ext uri="smNativeData">
            <pm:shade xmlns:pm="smNativeData" id="1696577006" type="1" fgLvl="100" fgClr="00CCFFCC" bgLvl="0" bgClr="00000000"/>
          </ext>
        </extLst>
      </patternFill>
    </fill>
  </fills>
  <borders count="75">
    <border>
      <left style="none">
        <color rgb="FF000000"/>
      </left>
      <right style="none">
        <color rgb="FF000000"/>
      </right>
      <top style="none">
        <color rgb="FF000000"/>
      </top>
      <bottom style="none">
        <color rgb="FF000000"/>
      </bottom>
      <extLst>
        <ext uri="smNativeData">
          <pm:border xmlns:pm="smNativeData" id="1696577006"/>
        </ext>
      </extLst>
    </border>
    <border>
      <left style="thin">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medium">
        <color rgb="FF000000"/>
      </left>
      <right style="medium">
        <color rgb="FF000000"/>
      </right>
      <top style="medium">
        <color rgb="FF000000"/>
      </top>
      <bottom style="medium">
        <color rgb="FF000000"/>
      </bottom>
      <extLst>
        <ext uri="smNativeData">
          <pm:border xmlns:pm="smNativeData" id="1696577006">
            <pm:line position="top" type="1" style="0" width="30" dist="20" width2="20" rgb="000000"/>
            <pm:line position="bottom" type="1" style="0" width="30" dist="20" width2="20" rgb="000000"/>
            <pm:line position="left" type="1" style="0" width="30" dist="20" width2="20" rgb="000000"/>
            <pm:line position="right" type="1" style="0" width="30" dist="20" width2="20" rgb="000000"/>
          </pm:border>
        </ext>
      </extLst>
    </border>
    <border>
      <left style="thin">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96577006">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96577006">
            <pm:line position="top" type="1" style="0" width="20" dist="20" width2="20" rgb="000000"/>
            <pm:line position="left" type="1" style="0" width="20" dist="20" width2="20" rgb="000000"/>
            <pm:line position="right" type="1" style="0" width="20" dist="20" width2="20" rgb="000000"/>
          </pm:border>
        </ext>
      </extLst>
    </border>
    <border>
      <left style="medium">
        <color rgb="FF000000"/>
      </left>
      <right style="medium">
        <color rgb="FF000000"/>
      </right>
      <top style="medium">
        <color rgb="FF000000"/>
      </top>
      <bottom style="medium">
        <color rgb="FF000000"/>
      </bottom>
      <extLst>
        <ext uri="smNativeData">
          <pm:border xmlns:pm="smNativeData" id="1696577006">
            <pm:line position="top" type="1" style="0" width="30" dist="20" width2="20" rgb="000000"/>
            <pm:line position="bottom" type="1" style="0" width="30" dist="20" width2="20" rgb="000000"/>
            <pm:line position="left" type="1" style="0" width="30" dist="20" width2="20" rgb="000000"/>
            <pm:line position="right" type="1" style="0" width="30" dist="20" width2="20" rgb="000000"/>
          </pm:border>
        </ext>
      </extLst>
    </border>
    <border>
      <left style="medium">
        <color rgb="FF000000"/>
      </left>
      <right style="medium">
        <color rgb="FF000000"/>
      </right>
      <top style="none">
        <color rgb="FF000000"/>
      </top>
      <bottom style="medium">
        <color rgb="FF000000"/>
      </bottom>
      <extLst>
        <ext uri="smNativeData">
          <pm:border xmlns:pm="smNativeData" id="1696577006">
            <pm:line position="bottom" type="1" style="0" width="30" dist="20" width2="20" rgb="000000"/>
            <pm:line position="left" type="1" style="0" width="30" dist="20" width2="20" rgb="000000"/>
            <pm:line position="right" type="1" style="0" width="30" dist="20" width2="20" rgb="000000"/>
          </pm:border>
        </ext>
      </extLst>
    </border>
    <border>
      <left style="none">
        <color rgb="FF000000"/>
      </left>
      <right style="none">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border>
        </ext>
      </extLst>
    </border>
    <border>
      <left style="none">
        <color rgb="FF000000"/>
      </left>
      <right style="none">
        <color rgb="FF000000"/>
      </right>
      <top style="medium">
        <color rgb="FF000000"/>
      </top>
      <bottom style="none">
        <color rgb="FF000000"/>
      </bottom>
      <extLst>
        <ext uri="smNativeData">
          <pm:border xmlns:pm="smNativeData" id="1696577006">
            <pm:line position="top" type="1" style="0" width="30" dist="20" width2="20" rgb="000000"/>
          </pm:border>
        </ext>
      </extLst>
    </border>
    <border>
      <left style="none">
        <color rgb="FF000000"/>
      </left>
      <right style="medium">
        <color rgb="FF000000"/>
      </right>
      <top style="medium">
        <color rgb="FF000000"/>
      </top>
      <bottom style="none">
        <color rgb="FF000000"/>
      </bottom>
      <extLst>
        <ext uri="smNativeData">
          <pm:border xmlns:pm="smNativeData" id="1696577006">
            <pm:line position="top" type="1" style="0" width="30" dist="20" width2="20" rgb="000000"/>
            <pm:line position="right" type="1" style="0" width="30" dist="20" width2="20" rgb="000000"/>
          </pm:border>
        </ext>
      </extLst>
    </border>
    <border>
      <left style="medium">
        <color rgb="FF000000"/>
      </left>
      <right style="none">
        <color rgb="FF000000"/>
      </right>
      <top style="none">
        <color rgb="FF000000"/>
      </top>
      <bottom style="medium">
        <color rgb="FF000000"/>
      </bottom>
      <extLst>
        <ext uri="smNativeData">
          <pm:border xmlns:pm="smNativeData" id="1696577006">
            <pm:line position="bottom" type="1" style="0" width="30" dist="20" width2="20" rgb="000000"/>
            <pm:line position="left" type="1" style="0" width="30" dist="20" width2="20" rgb="000000"/>
          </pm:border>
        </ext>
      </extLst>
    </border>
    <border>
      <left style="none">
        <color rgb="FF000000"/>
      </left>
      <right style="none">
        <color rgb="FF000000"/>
      </right>
      <top style="none">
        <color rgb="FF000000"/>
      </top>
      <bottom style="medium">
        <color rgb="FF000000"/>
      </bottom>
      <extLst>
        <ext uri="smNativeData">
          <pm:border xmlns:pm="smNativeData" id="1696577006">
            <pm:line position="bottom" type="1" style="0" width="30" dist="20" width2="20" rgb="000000"/>
          </pm:border>
        </ext>
      </extLst>
    </border>
    <border>
      <left style="thin">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96577006"/>
        </ext>
      </extLst>
    </border>
    <border>
      <left style="medium">
        <color rgb="FF000000"/>
      </left>
      <right style="medium">
        <color rgb="FF000000"/>
      </right>
      <top style="medium">
        <color rgb="FF000000"/>
      </top>
      <bottom style="medium">
        <color rgb="FF000000"/>
      </bottom>
      <extLst>
        <ext uri="smNativeData">
          <pm:border xmlns:pm="smNativeData" id="1696577006">
            <pm:line position="top" type="1" style="0" width="30" dist="20" width2="20" rgb="000000"/>
            <pm:line position="bottom" type="1" style="0" width="30" dist="20" width2="20" rgb="000000"/>
            <pm:line position="left" type="1" style="0" width="30" dist="20" width2="20" rgb="000000"/>
            <pm:line position="right" type="1" style="0" width="30" dist="20" width2="20" rgb="000000"/>
          </pm:border>
        </ext>
      </extLst>
    </border>
    <border>
      <left style="medium">
        <color rgb="FF000000"/>
      </left>
      <right style="none">
        <color rgb="FF000000"/>
      </right>
      <top style="medium">
        <color rgb="FF000000"/>
      </top>
      <bottom style="none">
        <color rgb="FF000000"/>
      </bottom>
      <extLst>
        <ext uri="smNativeData">
          <pm:border xmlns:pm="smNativeData" id="1696577006">
            <pm:line position="top" type="1" style="0" width="30" dist="20" width2="20" rgb="000000"/>
            <pm:line position="left" type="1" style="0" width="30" dist="20" width2="20" rgb="000000"/>
          </pm:border>
        </ext>
      </extLst>
    </border>
    <border>
      <left style="medium">
        <color rgb="FF000000"/>
      </left>
      <right style="none">
        <color rgb="FF000000"/>
      </right>
      <top style="none">
        <color rgb="FF000000"/>
      </top>
      <bottom style="none">
        <color rgb="FF000000"/>
      </bottom>
      <extLst>
        <ext uri="smNativeData">
          <pm:border xmlns:pm="smNativeData" id="1696577006">
            <pm:line position="left" type="1" style="0" width="30" dist="20" width2="20" rgb="000000"/>
          </pm:border>
        </ext>
      </extLst>
    </border>
    <border>
      <left style="none">
        <color rgb="FF000000"/>
      </left>
      <right style="medium">
        <color rgb="FF000000"/>
      </right>
      <top style="none">
        <color rgb="FF000000"/>
      </top>
      <bottom style="none">
        <color rgb="FF000000"/>
      </bottom>
      <extLst>
        <ext uri="smNativeData">
          <pm:border xmlns:pm="smNativeData" id="1696577006">
            <pm:line position="right" type="1" style="0" width="30" dist="20" width2="20" rgb="000000"/>
          </pm:border>
        </ext>
      </extLst>
    </border>
    <border>
      <left style="thin">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96577006">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696577006">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96577006">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96577006">
            <pm:line position="top"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right" type="1" style="0" width="20" dist="20" width2="20" rgb="000000"/>
          </pm:border>
        </ext>
      </extLst>
    </border>
    <border>
      <left style="medium">
        <color rgb="FF000000"/>
      </left>
      <right style="medium">
        <color rgb="FF000000"/>
      </right>
      <top style="medium">
        <color rgb="FF000000"/>
      </top>
      <bottom style="none">
        <color rgb="FF000000"/>
      </bottom>
      <extLst>
        <ext uri="smNativeData">
          <pm:border xmlns:pm="smNativeData" id="1696577006">
            <pm:line position="top" type="1" style="0" width="30" dist="20" width2="20" rgb="000000"/>
            <pm:line position="left" type="1" style="0" width="30" dist="20" width2="20" rgb="000000"/>
            <pm:line position="right" type="1" style="0" width="30" dist="20" width2="20" rgb="000000"/>
          </pm:border>
        </ext>
      </extLst>
    </border>
    <border>
      <left style="none">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96577006">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96577006">
            <pm:line position="right" type="1" style="0" width="20" dist="20" width2="20" rgb="000000"/>
          </pm:border>
        </ext>
      </extLst>
    </border>
    <border>
      <left style="medium">
        <color rgb="FF000000"/>
      </left>
      <right style="none">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30" dist="20" width2="20" rgb="000000"/>
          </pm:border>
        </ext>
      </extLst>
    </border>
    <border>
      <left style="thin">
        <color rgb="FF000000"/>
      </left>
      <right style="thin">
        <color rgb="FF000000"/>
      </right>
      <top style="none">
        <color rgb="FF000000"/>
      </top>
      <bottom style="thin">
        <color rgb="FF000000"/>
      </bottom>
      <extLst>
        <ext uri="smNativeData">
          <pm:border xmlns:pm="smNativeData" id="1696577006">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none">
        <color rgb="FF000000"/>
      </top>
      <bottom style="thin">
        <color rgb="FF000000"/>
      </bottom>
      <extLst>
        <ext uri="smNativeData">
          <pm:border xmlns:pm="smNativeData" id="1696577006">
            <pm:line position="bottom" type="1" style="0" width="20" dist="20" width2="20" rgb="000000"/>
            <pm:line position="left" type="1" style="0" width="20" dist="20" width2="20" rgb="000000"/>
            <pm:line position="right" type="1" style="0" width="30" dist="20" width2="20" rgb="000000"/>
          </pm:border>
        </ext>
      </extLst>
    </border>
    <border>
      <left style="thin">
        <color rgb="FF000000"/>
      </left>
      <right style="medium">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thin">
        <color rgb="FF000000"/>
      </left>
      <right style="thin">
        <color rgb="FF000000"/>
      </right>
      <top style="thin">
        <color rgb="FF000000"/>
      </top>
      <bottom style="medium">
        <color rgb="FF000000"/>
      </bottom>
      <extLst>
        <ext uri="smNativeData">
          <pm:border xmlns:pm="smNativeData" id="1696577006">
            <pm:line position="top" type="1" style="0" width="20" dist="20" width2="20" rgb="000000"/>
            <pm:line position="bottom" type="1" style="0" width="3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thin">
        <color rgb="FF000000"/>
      </top>
      <bottom style="medium">
        <color rgb="FF000000"/>
      </bottom>
      <extLst>
        <ext uri="smNativeData">
          <pm:border xmlns:pm="smNativeData" id="1696577006">
            <pm:line position="top" type="1" style="0" width="20" dist="20" width2="20" rgb="000000"/>
            <pm:line position="bottom" type="1" style="0" width="30" dist="20" width2="20" rgb="000000"/>
            <pm:line position="left" type="1" style="0" width="20" dist="20" width2="20" rgb="000000"/>
            <pm:line position="right" type="1" style="0" width="30" dist="20" width2="20" rgb="000000"/>
          </pm:border>
        </ext>
      </extLst>
    </border>
    <border>
      <left style="medium">
        <color rgb="FF000000"/>
      </left>
      <right style="none">
        <color rgb="FF000000"/>
      </right>
      <top style="none">
        <color rgb="FF000000"/>
      </top>
      <bottom style="thin">
        <color rgb="FF000000"/>
      </bottom>
      <extLst>
        <ext uri="smNativeData">
          <pm:border xmlns:pm="smNativeData" id="1696577006">
            <pm:line position="bottom" type="1" style="0" width="20" dist="20" width2="20" rgb="000000"/>
            <pm:line position="left" type="1" style="0" width="30" dist="20" width2="20" rgb="000000"/>
          </pm:border>
        </ext>
      </extLst>
    </border>
    <border>
      <left style="medium">
        <color rgb="FF000000"/>
      </left>
      <right style="none">
        <color rgb="FF000000"/>
      </right>
      <top style="thin">
        <color rgb="FF000000"/>
      </top>
      <bottom style="medium">
        <color rgb="FF000000"/>
      </bottom>
      <extLst>
        <ext uri="smNativeData">
          <pm:border xmlns:pm="smNativeData" id="1696577006">
            <pm:line position="top" type="1" style="0" width="20" dist="20" width2="20" rgb="000000"/>
            <pm:line position="bottom" type="1" style="0" width="30" dist="20" width2="20" rgb="000000"/>
            <pm:line position="left" type="1" style="0" width="30" dist="20" width2="20" rgb="000000"/>
          </pm:border>
        </ext>
      </extLst>
    </border>
    <border>
      <left style="none">
        <color rgb="FF000000"/>
      </left>
      <right style="medium">
        <color rgb="FF000000"/>
      </right>
      <top style="none">
        <color rgb="FF000000"/>
      </top>
      <bottom style="medium">
        <color rgb="FF000000"/>
      </bottom>
      <extLst>
        <ext uri="smNativeData">
          <pm:border xmlns:pm="smNativeData" id="1696577006">
            <pm:line position="bottom" type="1" style="0" width="30" dist="20" width2="20" rgb="000000"/>
            <pm:line position="right" type="1" style="0" width="30" dist="20" width2="20" rgb="000000"/>
          </pm:border>
        </ext>
      </extLst>
    </border>
    <border>
      <left style="none">
        <color rgb="FF000000"/>
      </left>
      <right style="thin">
        <color rgb="FF000000"/>
      </right>
      <top style="none">
        <color rgb="FF000000"/>
      </top>
      <bottom style="thin">
        <color rgb="FF000000"/>
      </bottom>
      <extLst>
        <ext uri="smNativeData">
          <pm:border xmlns:pm="smNativeData" id="1696577006">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96577006">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medium">
        <color rgb="FF000000"/>
      </bottom>
      <extLst>
        <ext uri="smNativeData">
          <pm:border xmlns:pm="smNativeData" id="1696577006">
            <pm:line position="top" type="1" style="0" width="20" dist="20" width2="20" rgb="000000"/>
            <pm:line position="bottom" type="1" style="0" width="30" dist="20" width2="20" rgb="000000"/>
            <pm:line position="left" type="1" style="0" width="20" dist="20" width2="20" rgb="000000"/>
            <pm:line position="right" type="1" style="0" width="20" dist="20" width2="20" rgb="000000"/>
          </pm:border>
        </ext>
      </extLst>
    </border>
    <border>
      <left style="medium">
        <color rgb="FF000000"/>
      </left>
      <right style="thin">
        <color rgb="FF000000"/>
      </right>
      <top style="medium">
        <color rgb="FF000000"/>
      </top>
      <bottom style="thin">
        <color rgb="FF000000"/>
      </bottom>
      <extLst>
        <ext uri="smNativeData">
          <pm:border xmlns:pm="smNativeData" id="1696577006">
            <pm:line position="top" type="1" style="0" width="30" dist="20" width2="20" rgb="000000"/>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96577006">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medium">
        <color rgb="FF000000"/>
      </right>
      <top style="none">
        <color rgb="FF000000"/>
      </top>
      <bottom style="thin">
        <color rgb="FF000000"/>
      </bottom>
      <extLst>
        <ext uri="smNativeData">
          <pm:border xmlns:pm="smNativeData" id="1696577006">
            <pm:line position="bottom" type="1" style="0" width="20" dist="20" width2="20" rgb="000000"/>
            <pm:line position="right" type="1" style="0" width="30" dist="20" width2="20" rgb="000000"/>
          </pm:border>
        </ext>
      </extLst>
    </border>
    <border>
      <left style="thin">
        <color rgb="FF000000"/>
      </left>
      <right style="thin">
        <color rgb="FF000000"/>
      </right>
      <top style="medium">
        <color rgb="FF000000"/>
      </top>
      <bottom style="thin">
        <color rgb="FF000000"/>
      </bottom>
      <extLst>
        <ext uri="smNativeData">
          <pm:border xmlns:pm="smNativeData" id="1696577006">
            <pm:line position="top" type="1" style="0" width="3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medium">
        <color rgb="FF000000"/>
      </bottom>
      <extLst>
        <ext uri="smNativeData">
          <pm:border xmlns:pm="smNativeData" id="1696577006">
            <pm:line position="top" type="1" style="0" width="20" dist="20" width2="20" rgb="000000"/>
            <pm:line position="bottom" type="1" style="0" width="30" dist="20" width2="20" rgb="000000"/>
            <pm:line position="left" type="1" style="0" width="20" dist="20" width2="20" rgb="000000"/>
          </pm:border>
        </ext>
      </extLst>
    </border>
    <border>
      <left style="medium">
        <color rgb="FF000000"/>
      </left>
      <right style="thin">
        <color rgb="FF000000"/>
      </right>
      <top style="none">
        <color rgb="FF000000"/>
      </top>
      <bottom style="thin">
        <color rgb="FF000000"/>
      </bottom>
      <extLst>
        <ext uri="smNativeData">
          <pm:border xmlns:pm="smNativeData" id="1696577006">
            <pm:line position="bottom" type="1" style="0" width="20" dist="20" width2="20" rgb="000000"/>
            <pm:line position="left" type="1" style="0" width="30" dist="20" width2="20" rgb="000000"/>
            <pm:line position="right" type="1" style="0" width="20" dist="20" width2="20" rgb="000000"/>
          </pm:border>
        </ext>
      </extLst>
    </border>
    <border>
      <left style="medium">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medium">
        <color rgb="FF000000"/>
      </left>
      <right style="thin">
        <color rgb="FF000000"/>
      </right>
      <top style="thin">
        <color rgb="FF000000"/>
      </top>
      <bottom style="medium">
        <color rgb="FF000000"/>
      </bottom>
      <extLst>
        <ext uri="smNativeData">
          <pm:border xmlns:pm="smNativeData" id="1696577006">
            <pm:line position="top" type="1" style="0" width="20" dist="20" width2="20" rgb="000000"/>
            <pm:line position="bottom" type="1" style="0" width="30" dist="20" width2="20" rgb="000000"/>
            <pm:line position="left" type="1" style="0" width="30" dist="20" width2="20" rgb="000000"/>
            <pm:line position="right" type="1" style="0" width="20" dist="20" width2="20" rgb="000000"/>
          </pm:border>
        </ext>
      </extLst>
    </border>
    <border>
      <left style="thin">
        <color rgb="FF000000"/>
      </left>
      <right style="thin">
        <color rgb="FF000000"/>
      </right>
      <top style="thin">
        <color rgb="FF000000"/>
      </top>
      <bottom style="medium">
        <color rgb="FF000000"/>
      </bottom>
      <extLst>
        <ext uri="smNativeData">
          <pm:border xmlns:pm="smNativeData" id="1696577006">
            <pm:line position="top" type="1" style="0" width="20" dist="20" width2="20" rgb="000000"/>
            <pm:line position="bottom" type="1" style="0" width="3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thin">
        <color rgb="FF000000"/>
      </top>
      <bottom style="medium">
        <color rgb="FF000000"/>
      </bottom>
      <extLst>
        <ext uri="smNativeData">
          <pm:border xmlns:pm="smNativeData" id="1696577006">
            <pm:line position="top" type="1" style="0" width="20" dist="20" width2="20" rgb="000000"/>
            <pm:line position="bottom" type="1" style="0" width="30" dist="20" width2="20" rgb="000000"/>
          </pm:border>
        </ext>
      </extLst>
    </border>
    <border>
      <left style="medium">
        <color rgb="FF000000"/>
      </left>
      <right style="thin">
        <color rgb="FF000000"/>
      </right>
      <top style="thin">
        <color rgb="FF000000"/>
      </top>
      <bottom style="none">
        <color rgb="FF000000"/>
      </bottom>
      <extLst>
        <ext uri="smNativeData">
          <pm:border xmlns:pm="smNativeData" id="1696577006">
            <pm:line position="top" type="1" style="0" width="20" dist="20" width2="20" rgb="000000"/>
            <pm:line position="left" type="1" style="0" width="30" dist="20" width2="20" rgb="000000"/>
            <pm:line position="right" type="1" style="0" width="20" dist="20" width2="20" rgb="000000"/>
          </pm:border>
        </ext>
      </extLst>
    </border>
    <border>
      <left style="none">
        <color rgb="FF000000"/>
      </left>
      <right style="thin">
        <color rgb="FF000000"/>
      </right>
      <top style="none">
        <color rgb="FF000000"/>
      </top>
      <bottom style="medium">
        <color rgb="FF000000"/>
      </bottom>
      <extLst>
        <ext uri="smNativeData">
          <pm:border xmlns:pm="smNativeData" id="1696577006">
            <pm:line position="bottom" type="1" style="0" width="30" dist="20" width2="20" rgb="000000"/>
            <pm:line position="right" type="1" style="0" width="20" dist="20" width2="20" rgb="000000"/>
          </pm:border>
        </ext>
      </extLst>
    </border>
    <border>
      <left style="none">
        <color rgb="FF000000"/>
      </left>
      <right style="medium">
        <color rgb="FF000000"/>
      </right>
      <top style="medium">
        <color rgb="FF000000"/>
      </top>
      <bottom style="medium">
        <color rgb="FF000000"/>
      </bottom>
      <extLst>
        <ext uri="smNativeData">
          <pm:border xmlns:pm="smNativeData" id="1696577006">
            <pm:line position="top" type="1" style="0" width="30" dist="20" width2="20" rgb="000000"/>
            <pm:line position="bottom" type="1" style="0" width="30" dist="20" width2="20" rgb="000000"/>
            <pm:line position="right" type="1" style="0" width="30" dist="20" width2="20" rgb="000000"/>
          </pm:border>
        </ext>
      </extLst>
    </border>
    <border>
      <left style="thin">
        <color rgb="FF000000"/>
      </left>
      <right style="none">
        <color rgb="FF000000"/>
      </right>
      <top style="medium">
        <color rgb="FF000000"/>
      </top>
      <bottom style="thin">
        <color rgb="FF000000"/>
      </bottom>
      <extLst>
        <ext uri="smNativeData">
          <pm:border xmlns:pm="smNativeData" id="1696577006">
            <pm:line position="top" type="1" style="0" width="3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medium">
        <color rgb="FF000000"/>
      </top>
      <bottom style="medium">
        <color rgb="FF000000"/>
      </bottom>
      <extLst>
        <ext uri="smNativeData">
          <pm:border xmlns:pm="smNativeData" id="1696577006">
            <pm:line position="top" type="1" style="0" width="30" dist="20" width2="20" rgb="000000"/>
            <pm:line position="bottom" type="1" style="0" width="30" dist="20" width2="20" rgb="000000"/>
          </pm:border>
        </ext>
      </extLst>
    </border>
    <border>
      <left style="none">
        <color rgb="FF000000"/>
      </left>
      <right style="none">
        <color rgb="FF000000"/>
      </right>
      <top style="thin">
        <color rgb="FFEBF1DC"/>
      </top>
      <bottom style="thin">
        <color rgb="FFEBF1DC"/>
      </bottom>
      <extLst>
        <ext uri="smNativeData">
          <pm:border xmlns:pm="smNativeData" id="1696577006">
            <pm:line position="top" type="1" style="0" width="20" dist="20" width2="20" rgb="EBF1DC"/>
            <pm:line position="bottom" type="1" style="0" width="20" dist="20" width2="20" rgb="EBF1DC"/>
          </pm:border>
        </ext>
      </extLst>
    </border>
    <border>
      <left style="thin">
        <color rgb="FF000000"/>
      </left>
      <right style="thin">
        <color rgb="FF000000"/>
      </right>
      <top style="none">
        <color rgb="FF000000"/>
      </top>
      <bottom style="none">
        <color rgb="FF000000"/>
      </bottom>
      <extLst>
        <ext uri="smNativeData">
          <pm:border xmlns:pm="smNativeData" id="1696577006">
            <pm:line position="left" type="1" style="0" width="20" dist="20" width2="20" rgb="000000"/>
            <pm:line position="right" type="1" style="0" width="20" dist="20" width2="20" rgb="000000"/>
          </pm:border>
        </ext>
      </extLst>
    </border>
    <border>
      <left style="none">
        <color rgb="FF000000"/>
      </left>
      <right style="none">
        <color rgb="FF000000"/>
      </right>
      <top style="thin">
        <color rgb="FFEBF1DE"/>
      </top>
      <bottom style="thin">
        <color rgb="FFEBF1DE"/>
      </bottom>
      <extLst>
        <ext uri="smNativeData">
          <pm:border xmlns:pm="smNativeData" id="1696577006">
            <pm:line position="top" type="1" style="0" width="20" dist="20" width2="20" rgb="EBF1DE"/>
            <pm:line position="bottom" type="1" style="0" width="20" dist="20" width2="20" rgb="EBF1DE"/>
          </pm:border>
        </ext>
      </extLst>
    </border>
    <border>
      <left style="thin">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medium">
        <color rgb="FF000000"/>
      </left>
      <right style="none">
        <color rgb="FF000000"/>
      </right>
      <top style="medium">
        <color rgb="FF000000"/>
      </top>
      <bottom style="medium">
        <color rgb="FF000000"/>
      </bottom>
      <extLst>
        <ext uri="smNativeData">
          <pm:border xmlns:pm="smNativeData" id="1696577006">
            <pm:line position="top" type="1" style="0" width="30" dist="20" width2="20" rgb="000000"/>
            <pm:line position="bottom" type="1" style="0" width="30" dist="20" width2="20" rgb="000000"/>
            <pm:line position="left" type="1" style="0" width="30" dist="20" width2="20" rgb="000000"/>
          </pm:border>
        </ext>
      </extLst>
    </border>
    <border>
      <left style="medium">
        <color rgb="FF000000"/>
      </left>
      <right style="none">
        <color rgb="FF000000"/>
      </right>
      <top style="thin">
        <color rgb="FF000000"/>
      </top>
      <bottom style="thin">
        <color rgb="FF000000"/>
      </bottom>
      <extLst>
        <ext uri="smNativeData">
          <pm:border xmlns:pm="smNativeData" id="1696577006">
            <pm:line position="top" type="1" style="0" width="20" dist="20" width2="20" rgb="000000"/>
            <pm:line position="bottom" type="1" style="0" width="20" dist="20" width2="20" rgb="000000"/>
            <pm:line position="left" type="1" style="0" width="30" dist="20" width2="20" rgb="000000"/>
          </pm:border>
        </ext>
      </extLst>
    </border>
    <border>
      <left style="medium">
        <color rgb="FF000000"/>
      </left>
      <right style="none">
        <color rgb="FF000000"/>
      </right>
      <top style="medium">
        <color rgb="FF000000"/>
      </top>
      <bottom style="thin">
        <color rgb="FF000000"/>
      </bottom>
      <extLst>
        <ext uri="smNativeData">
          <pm:border xmlns:pm="smNativeData" id="1696577006">
            <pm:line position="top" type="1" style="0" width="30" dist="20" width2="20" rgb="000000"/>
            <pm:line position="bottom" type="1" style="0" width="20" dist="20" width2="20" rgb="000000"/>
            <pm:line position="left" type="1" style="0" width="30" dist="20" width2="20" rgb="000000"/>
          </pm:border>
        </ext>
      </extLst>
    </border>
    <border>
      <left style="none">
        <color rgb="FF000000"/>
      </left>
      <right style="none">
        <color rgb="FF000000"/>
      </right>
      <top style="medium">
        <color rgb="FF000000"/>
      </top>
      <bottom style="thin">
        <color rgb="FF000000"/>
      </bottom>
      <extLst>
        <ext uri="smNativeData">
          <pm:border xmlns:pm="smNativeData" id="1696577006">
            <pm:line position="top" type="1" style="0" width="30" dist="20" width2="20" rgb="000000"/>
            <pm:line position="bottom" type="1" style="0" width="20" dist="20" width2="20" rgb="000000"/>
          </pm:border>
        </ext>
      </extLst>
    </border>
    <border>
      <left style="none">
        <color rgb="FF000000"/>
      </left>
      <right style="thin">
        <color rgb="FF000000"/>
      </right>
      <top style="medium">
        <color rgb="FF000000"/>
      </top>
      <bottom style="thin">
        <color rgb="FF000000"/>
      </bottom>
      <extLst>
        <ext uri="smNativeData">
          <pm:border xmlns:pm="smNativeData" id="1696577006">
            <pm:line position="top" type="1" style="0" width="3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96577006">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96577006">
            <pm:line position="bottom"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96577006"/>
        </ext>
      </extLst>
    </border>
    <border>
      <left style="none">
        <color rgb="FF000000"/>
      </left>
      <right style="none">
        <color rgb="FF000000"/>
      </right>
      <top style="none">
        <color rgb="FF000000"/>
      </top>
      <bottom style="none">
        <color rgb="FF000000"/>
      </bottom>
      <extLst>
        <ext uri="smNativeData">
          <pm:border xmlns:pm="smNativeData" id="1696577006"/>
        </ext>
      </extLst>
    </border>
  </borders>
  <cellStyleXfs count="4">
    <xf numFmtId="0" fontId="0" fillId="0" borderId="0" applyNumberFormat="1" applyFont="1" applyFill="1" applyBorder="1" applyAlignment="1" applyProtection="1"/>
    <xf numFmtId="167" fontId="0" fillId="0" borderId="0" applyNumberFormat="1" applyFont="0" applyFill="0" applyBorder="0" applyAlignment="0" applyProtection="0"/>
    <xf numFmtId="166" fontId="0" fillId="0" borderId="0" applyNumberFormat="1" applyFont="0" applyFill="0" applyBorder="0" applyAlignment="0" applyProtection="0"/>
    <xf numFmtId="9" fontId="0" fillId="0" borderId="0" applyNumberFormat="1" applyFont="0" applyFill="0" applyBorder="0" applyAlignment="0" applyProtection="0"/>
  </cellStyleXfs>
  <cellXfs count="419">
    <xf numFmtId="0" fontId="0" fillId="0" borderId="0" xfId="0"/>
    <xf numFmtId="167" fontId="0" fillId="0" borderId="0" xfId="1"/>
    <xf numFmtId="166" fontId="0" fillId="0" borderId="0" xfId="2"/>
    <xf numFmtId="9" fontId="0" fillId="0" borderId="0" xfId="3"/>
    <xf numFmtId="0" fontId="0" fillId="0" borderId="1" xfId="0" applyFill="1" applyBorder="1"/>
    <xf numFmtId="0" fontId="3" fillId="0" borderId="0" xfId="0" applyFont="1"/>
    <xf numFmtId="10" fontId="0" fillId="0" borderId="1" xfId="0" applyNumberFormat="1" applyFill="1" applyBorder="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166" fontId="8" fillId="3" borderId="2" xfId="2" applyFont="1" applyFill="1" applyBorder="1"/>
    <xf numFmtId="10" fontId="8" fillId="3" borderId="2" xfId="3" applyNumberFormat="1" applyFont="1" applyFill="1" applyBorder="1"/>
    <xf numFmtId="10" fontId="8" fillId="3" borderId="2" xfId="0" applyNumberFormat="1" applyFont="1" applyFill="1" applyBorder="1"/>
    <xf numFmtId="2" fontId="8" fillId="3" borderId="2" xfId="0" applyNumberFormat="1" applyFont="1" applyFill="1" applyBorder="1"/>
    <xf numFmtId="4" fontId="8" fillId="3" borderId="2" xfId="0" applyNumberFormat="1"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2" fillId="0" borderId="1" xfId="0" applyFont="1" applyFill="1" applyBorder="1"/>
    <xf numFmtId="0" fontId="8" fillId="0" borderId="1" xfId="0" applyFont="1" applyFill="1" applyBorder="1"/>
    <xf numFmtId="10" fontId="12" fillId="0" borderId="0" xfId="0" applyNumberFormat="1" applyFont="1"/>
    <xf numFmtId="3" fontId="8" fillId="0" borderId="1" xfId="0" applyNumberFormat="1" applyFont="1" applyFill="1" applyBorder="1"/>
    <xf numFmtId="10" fontId="12" fillId="0" borderId="1" xfId="0" applyNumberFormat="1" applyFont="1" applyFill="1" applyBorder="1"/>
    <xf numFmtId="169" fontId="12" fillId="0" borderId="1" xfId="1" applyNumberFormat="1" applyFont="1" applyFill="1" applyBorder="1"/>
    <xf numFmtId="10" fontId="8" fillId="0" borderId="1" xfId="0" applyNumberFormat="1" applyFont="1" applyFill="1" applyBorder="1"/>
    <xf numFmtId="166" fontId="8" fillId="0" borderId="3" xfId="2" applyFont="1" applyFill="1" applyBorder="1"/>
    <xf numFmtId="166" fontId="8" fillId="0" borderId="0" xfId="2" applyFont="1"/>
    <xf numFmtId="165" fontId="8" fillId="0" borderId="3" xfId="0" applyNumberFormat="1" applyFont="1" applyFill="1" applyBorder="1"/>
    <xf numFmtId="166" fontId="8" fillId="3" borderId="2" xfId="0" applyNumberFormat="1" applyFont="1" applyFill="1" applyBorder="1"/>
    <xf numFmtId="0" fontId="6" fillId="0" borderId="0" xfId="0" applyFont="1" applyAlignment="1">
      <alignment horizontal="centerContinuous"/>
    </xf>
    <xf numFmtId="0" fontId="8" fillId="0" borderId="1" xfId="0" applyFont="1" applyFill="1" applyBorder="1" applyAlignment="1">
      <alignment horizontal="center"/>
    </xf>
    <xf numFmtId="0" fontId="14" fillId="0" borderId="0" xfId="0" applyFont="1"/>
    <xf numFmtId="0" fontId="8" fillId="0" borderId="3" xfId="0" applyFont="1" applyFill="1" applyBorder="1"/>
    <xf numFmtId="166" fontId="8" fillId="5" borderId="4" xfId="2" applyFont="1" applyFill="1" applyBorder="1"/>
    <xf numFmtId="0" fontId="8" fillId="3" borderId="2" xfId="0" applyFont="1" applyFill="1" applyBorder="1" applyAlignment="1">
      <alignment horizontal="center"/>
    </xf>
    <xf numFmtId="0" fontId="8" fillId="0" borderId="5" xfId="0" applyFont="1" applyFill="1" applyBorder="1"/>
    <xf numFmtId="166" fontId="8" fillId="7" borderId="6" xfId="0" applyNumberFormat="1" applyFont="1" applyFill="1" applyBorder="1"/>
    <xf numFmtId="166" fontId="8" fillId="7" borderId="6" xfId="2" applyFont="1" applyFill="1" applyBorder="1"/>
    <xf numFmtId="0" fontId="8" fillId="8" borderId="7" xfId="0" applyFont="1" applyFill="1" applyBorder="1"/>
    <xf numFmtId="166" fontId="8" fillId="8" borderId="7" xfId="0" applyNumberFormat="1" applyFont="1" applyFill="1" applyBorder="1"/>
    <xf numFmtId="166" fontId="8" fillId="9" borderId="8" xfId="0" applyNumberFormat="1" applyFont="1" applyFill="1" applyBorder="1"/>
    <xf numFmtId="0" fontId="16" fillId="0" borderId="9" xfId="0" applyFont="1" applyFill="1" applyBorder="1" applyAlignment="1">
      <alignment horizontal="center"/>
    </xf>
    <xf numFmtId="0" fontId="16" fillId="0" borderId="1" xfId="0" applyFont="1" applyFill="1" applyBorder="1" applyAlignment="1">
      <alignment horizontal="center"/>
    </xf>
    <xf numFmtId="0" fontId="17" fillId="0" borderId="1" xfId="0" applyFont="1" applyFill="1" applyBorder="1"/>
    <xf numFmtId="0" fontId="17" fillId="0" borderId="0" xfId="0" applyFont="1"/>
    <xf numFmtId="0" fontId="18" fillId="0" borderId="1" xfId="0" applyFont="1" applyFill="1" applyBorder="1"/>
    <xf numFmtId="0" fontId="17" fillId="0" borderId="1" xfId="0" applyFont="1" applyFill="1" applyBorder="1" applyAlignment="1">
      <alignment horizontal="center"/>
    </xf>
    <xf numFmtId="0" fontId="17" fillId="0" borderId="0" xfId="0" applyFont="1" applyAlignment="1">
      <alignment horizontal="center"/>
    </xf>
    <xf numFmtId="0" fontId="19" fillId="0" borderId="0" xfId="0" applyFont="1"/>
    <xf numFmtId="0" fontId="20" fillId="0" borderId="10" xfId="0" applyFont="1" applyFill="1" applyBorder="1"/>
    <xf numFmtId="0" fontId="20" fillId="0" borderId="11" xfId="0" applyFont="1" applyFill="1" applyBorder="1"/>
    <xf numFmtId="0" fontId="20" fillId="0" borderId="0" xfId="0" applyFont="1"/>
    <xf numFmtId="0" fontId="20" fillId="0" borderId="12" xfId="0" applyFont="1" applyFill="1" applyBorder="1"/>
    <xf numFmtId="0" fontId="20" fillId="0" borderId="13" xfId="0" applyFont="1" applyFill="1" applyBorder="1"/>
    <xf numFmtId="0" fontId="20" fillId="0" borderId="1" xfId="0" applyFont="1" applyFill="1" applyBorder="1"/>
    <xf numFmtId="166" fontId="20" fillId="15" borderId="14" xfId="2" applyFont="1" applyFill="1" applyBorder="1" applyAlignment="1">
      <alignment horizontal="center"/>
    </xf>
    <xf numFmtId="0" fontId="40" fillId="0" borderId="0" xfId="0" applyFont="1"/>
    <xf numFmtId="10" fontId="20" fillId="15" borderId="14" xfId="2" applyNumberFormat="1" applyFont="1" applyFill="1" applyBorder="1" applyAlignment="1">
      <alignment horizontal="center"/>
    </xf>
    <xf numFmtId="166" fontId="20" fillId="0" borderId="0" xfId="2" applyFont="1" applyAlignment="1">
      <alignment horizontal="center"/>
    </xf>
    <xf numFmtId="10" fontId="20" fillId="15" borderId="14" xfId="0" applyNumberFormat="1" applyFont="1" applyFill="1" applyBorder="1" applyAlignment="1">
      <alignment horizontal="center"/>
    </xf>
    <xf numFmtId="2" fontId="20" fillId="15" borderId="14" xfId="0" applyNumberFormat="1" applyFont="1" applyFill="1" applyBorder="1" applyAlignment="1">
      <alignment horizontal="center"/>
    </xf>
    <xf numFmtId="10" fontId="20" fillId="0" borderId="0" xfId="0" applyNumberFormat="1" applyFont="1"/>
    <xf numFmtId="10" fontId="20" fillId="16" borderId="15" xfId="0" applyNumberFormat="1" applyFont="1" applyFill="1" applyAlignment="1">
      <alignment horizontal="center"/>
    </xf>
    <xf numFmtId="168" fontId="20" fillId="15" borderId="14" xfId="0" applyNumberFormat="1" applyFont="1" applyFill="1" applyBorder="1" applyAlignment="1">
      <alignment horizontal="center"/>
    </xf>
    <xf numFmtId="10" fontId="20" fillId="0" borderId="0" xfId="0" applyNumberFormat="1" applyFont="1" applyAlignment="1">
      <alignment horizontal="center"/>
    </xf>
    <xf numFmtId="0" fontId="22" fillId="0" borderId="0" xfId="0" applyFont="1"/>
    <xf numFmtId="0" fontId="20" fillId="15" borderId="14" xfId="0" applyFont="1" applyFill="1" applyBorder="1" applyAlignment="1">
      <alignment horizontal="center"/>
    </xf>
    <xf numFmtId="9" fontId="20" fillId="15" borderId="14" xfId="0" applyNumberFormat="1" applyFont="1" applyFill="1" applyBorder="1" applyAlignment="1">
      <alignment horizontal="center"/>
    </xf>
    <xf numFmtId="9" fontId="20" fillId="16" borderId="15" xfId="0" applyNumberFormat="1" applyFont="1" applyFill="1" applyAlignment="1">
      <alignment horizontal="center"/>
    </xf>
    <xf numFmtId="0" fontId="5" fillId="0" borderId="0" xfId="0" applyFont="1" applyAlignment="1">
      <alignment horizontal="left"/>
    </xf>
    <xf numFmtId="10" fontId="8" fillId="17" borderId="16" xfId="0" applyNumberFormat="1" applyFont="1" applyFill="1" applyBorder="1" applyAlignment="1">
      <alignment horizontal="center"/>
    </xf>
    <xf numFmtId="165" fontId="8" fillId="8" borderId="7" xfId="0" applyNumberFormat="1" applyFont="1" applyFill="1" applyBorder="1"/>
    <xf numFmtId="0" fontId="21" fillId="16" borderId="15" xfId="0" applyFont="1" applyFill="1"/>
    <xf numFmtId="0" fontId="22" fillId="16" borderId="15" xfId="0" applyFont="1" applyFill="1"/>
    <xf numFmtId="0" fontId="19" fillId="0" borderId="17" xfId="0" applyFont="1" applyFill="1" applyBorder="1"/>
    <xf numFmtId="0" fontId="20" fillId="0" borderId="18" xfId="0" applyFont="1" applyFill="1" applyBorder="1"/>
    <xf numFmtId="0" fontId="20" fillId="0" borderId="19" xfId="0" applyFont="1" applyFill="1" applyBorder="1"/>
    <xf numFmtId="0" fontId="17" fillId="3" borderId="2" xfId="0" applyFont="1" applyFill="1" applyBorder="1"/>
    <xf numFmtId="10" fontId="17" fillId="3" borderId="2" xfId="3" applyNumberFormat="1" applyFont="1" applyFill="1" applyBorder="1" applyAlignment="1">
      <alignment horizontal="center"/>
    </xf>
    <xf numFmtId="10" fontId="17" fillId="3" borderId="2" xfId="0" applyNumberFormat="1" applyFont="1" applyFill="1" applyBorder="1" applyAlignment="1">
      <alignment horizontal="center"/>
    </xf>
    <xf numFmtId="166" fontId="17" fillId="3" borderId="2" xfId="2" applyFont="1" applyFill="1" applyBorder="1"/>
    <xf numFmtId="166" fontId="17" fillId="3" borderId="2" xfId="2" applyFont="1" applyFill="1" applyBorder="1" applyAlignment="1">
      <alignment horizontal="center"/>
    </xf>
    <xf numFmtId="10" fontId="17" fillId="3" borderId="2" xfId="3" applyNumberFormat="1" applyFont="1" applyFill="1" applyBorder="1"/>
    <xf numFmtId="10" fontId="17" fillId="3" borderId="2" xfId="2" applyNumberFormat="1" applyFont="1" applyFill="1" applyBorder="1"/>
    <xf numFmtId="10" fontId="17" fillId="3" borderId="2" xfId="2" applyNumberFormat="1" applyFont="1" applyFill="1" applyBorder="1" applyAlignment="1">
      <alignment horizontal="center"/>
    </xf>
    <xf numFmtId="166" fontId="17" fillId="3" borderId="2" xfId="0" applyNumberFormat="1" applyFont="1" applyFill="1" applyBorder="1" applyAlignment="1">
      <alignment horizontal="center"/>
    </xf>
    <xf numFmtId="0" fontId="17" fillId="3" borderId="2" xfId="0" applyFont="1" applyFill="1" applyBorder="1" applyAlignment="1">
      <alignment horizontal="center"/>
    </xf>
    <xf numFmtId="166" fontId="17" fillId="3" borderId="2" xfId="0" applyNumberFormat="1" applyFont="1" applyFill="1" applyBorder="1"/>
    <xf numFmtId="10" fontId="17" fillId="3" borderId="2" xfId="0" applyNumberFormat="1" applyFont="1" applyFill="1" applyBorder="1"/>
    <xf numFmtId="168" fontId="17" fillId="3" borderId="2" xfId="0" applyNumberFormat="1" applyFont="1" applyFill="1" applyBorder="1"/>
    <xf numFmtId="165" fontId="17" fillId="3" borderId="2" xfId="0" applyNumberFormat="1" applyFont="1" applyFill="1" applyBorder="1"/>
    <xf numFmtId="167" fontId="17" fillId="3" borderId="2" xfId="1" applyFont="1" applyFill="1" applyBorder="1"/>
    <xf numFmtId="2" fontId="17" fillId="3" borderId="2" xfId="0" applyNumberFormat="1" applyFont="1" applyFill="1" applyBorder="1" applyAlignment="1">
      <alignment horizontal="center"/>
    </xf>
    <xf numFmtId="172" fontId="17" fillId="3" borderId="2" xfId="0" applyNumberFormat="1" applyFont="1" applyFill="1" applyBorder="1"/>
    <xf numFmtId="172" fontId="17" fillId="3" borderId="2" xfId="0" applyNumberFormat="1" applyFont="1" applyFill="1" applyBorder="1" applyAlignment="1">
      <alignment horizontal="center"/>
    </xf>
    <xf numFmtId="166" fontId="17" fillId="21" borderId="20" xfId="2" applyFont="1" applyFill="1" applyBorder="1" applyAlignment="1">
      <alignment horizontal="center"/>
    </xf>
    <xf numFmtId="10" fontId="17" fillId="21" borderId="20" xfId="3" applyNumberFormat="1" applyFont="1" applyFill="1" applyBorder="1" applyAlignment="1">
      <alignment horizontal="center"/>
    </xf>
    <xf numFmtId="166" fontId="0" fillId="21" borderId="20" xfId="0" applyNumberFormat="1" applyFill="1" applyBorder="1"/>
    <xf numFmtId="0" fontId="23" fillId="0" borderId="0" xfId="0" applyFont="1"/>
    <xf numFmtId="0" fontId="8" fillId="5" borderId="4" xfId="0" applyFont="1" applyFill="1" applyBorder="1"/>
    <xf numFmtId="0" fontId="10" fillId="0" borderId="0" xfId="0" applyFont="1" applyAlignment="1">
      <alignment horizontal="center"/>
    </xf>
    <xf numFmtId="0" fontId="10" fillId="0" borderId="1" xfId="0" applyFont="1" applyFill="1" applyBorder="1" applyAlignment="1">
      <alignment horizontal="center"/>
    </xf>
    <xf numFmtId="10" fontId="8" fillId="7" borderId="6" xfId="0" applyNumberFormat="1" applyFont="1" applyFill="1" applyBorder="1"/>
    <xf numFmtId="10" fontId="8" fillId="22" borderId="21" xfId="3" applyNumberFormat="1" applyFont="1" applyFill="1" applyBorder="1"/>
    <xf numFmtId="10" fontId="8" fillId="8" borderId="7" xfId="3" applyNumberFormat="1" applyFont="1" applyFill="1" applyBorder="1"/>
    <xf numFmtId="2" fontId="8" fillId="3" borderId="2" xfId="2" applyNumberFormat="1" applyFont="1" applyFill="1" applyBorder="1"/>
    <xf numFmtId="0" fontId="24" fillId="0" borderId="0" xfId="0" applyFont="1"/>
    <xf numFmtId="0" fontId="25" fillId="0" borderId="0" xfId="0" applyFont="1"/>
    <xf numFmtId="0" fontId="15" fillId="0" borderId="0" xfId="0" applyFont="1"/>
    <xf numFmtId="0" fontId="8" fillId="5" borderId="4" xfId="0" applyFont="1" applyFill="1" applyBorder="1" applyAlignment="1">
      <alignment horizontal="center"/>
    </xf>
    <xf numFmtId="10" fontId="12" fillId="0" borderId="0" xfId="0" applyNumberFormat="1" applyFont="1" applyAlignment="1">
      <alignment horizontal="center"/>
    </xf>
    <xf numFmtId="10" fontId="9" fillId="0" borderId="0" xfId="0" applyNumberFormat="1" applyFont="1" applyAlignment="1">
      <alignment horizontal="center"/>
    </xf>
    <xf numFmtId="0" fontId="10" fillId="0" borderId="1" xfId="0" applyFont="1" applyFill="1" applyBorder="1" applyAlignment="1">
      <alignment horizontal="centerContinuous"/>
    </xf>
    <xf numFmtId="0" fontId="10" fillId="0" borderId="1" xfId="0" applyFont="1" applyFill="1" applyBorder="1"/>
    <xf numFmtId="2" fontId="8" fillId="0" borderId="1" xfId="0" applyNumberFormat="1" applyFont="1" applyFill="1" applyBorder="1" applyAlignment="1">
      <alignment horizontal="center"/>
    </xf>
    <xf numFmtId="0" fontId="8" fillId="0" borderId="1" xfId="0" applyFont="1" applyFill="1" applyBorder="1" applyAlignment="1">
      <alignment horizontal="centerContinuous"/>
    </xf>
    <xf numFmtId="10" fontId="8" fillId="8" borderId="7" xfId="0" applyNumberFormat="1" applyFont="1" applyFill="1" applyBorder="1"/>
    <xf numFmtId="2" fontId="12" fillId="8" borderId="7" xfId="0" applyNumberFormat="1" applyFont="1" applyFill="1" applyBorder="1" applyAlignment="1">
      <alignment horizontal="center"/>
    </xf>
    <xf numFmtId="0" fontId="26" fillId="9" borderId="8" xfId="0" applyFont="1" applyFill="1" applyBorder="1" applyAlignment="1">
      <alignment horizontal="center"/>
    </xf>
    <xf numFmtId="10" fontId="12" fillId="8" borderId="7" xfId="3" applyNumberFormat="1" applyFont="1" applyFill="1" applyBorder="1" applyAlignment="1">
      <alignment horizontal="center"/>
    </xf>
    <xf numFmtId="10" fontId="12" fillId="8" borderId="7" xfId="0" applyNumberFormat="1" applyFont="1" applyFill="1" applyBorder="1" applyAlignment="1">
      <alignment horizontal="center"/>
    </xf>
    <xf numFmtId="0" fontId="28" fillId="0" borderId="0" xfId="0" applyFont="1"/>
    <xf numFmtId="0" fontId="4" fillId="16" borderId="15" xfId="0" applyFont="1" applyFill="1"/>
    <xf numFmtId="0" fontId="27" fillId="3" borderId="2" xfId="0" applyFont="1" applyFill="1" applyBorder="1"/>
    <xf numFmtId="0" fontId="28" fillId="3" borderId="2" xfId="0" applyFont="1" applyFill="1" applyBorder="1"/>
    <xf numFmtId="166" fontId="28" fillId="3" borderId="2" xfId="2" applyFont="1" applyFill="1" applyBorder="1"/>
    <xf numFmtId="10" fontId="28" fillId="3" borderId="2" xfId="0" applyNumberFormat="1" applyFont="1" applyFill="1" applyBorder="1"/>
    <xf numFmtId="0" fontId="28" fillId="7" borderId="6" xfId="0" applyFont="1" applyFill="1" applyBorder="1"/>
    <xf numFmtId="10" fontId="28" fillId="7" borderId="6" xfId="0" applyNumberFormat="1" applyFont="1" applyFill="1" applyBorder="1" applyAlignment="1">
      <alignment horizontal="right"/>
    </xf>
    <xf numFmtId="0" fontId="28" fillId="0" borderId="17" xfId="0" applyFont="1" applyFill="1" applyBorder="1"/>
    <xf numFmtId="173" fontId="17" fillId="3" borderId="2" xfId="0" applyNumberFormat="1" applyFont="1" applyFill="1" applyBorder="1" applyAlignment="1">
      <alignment horizontal="center"/>
    </xf>
    <xf numFmtId="0" fontId="17" fillId="0" borderId="0" xfId="0" applyFont="1" applyAlignment="1">
      <alignment horizontal="left"/>
    </xf>
    <xf numFmtId="0" fontId="19" fillId="0" borderId="18" xfId="0" applyFont="1" applyFill="1" applyBorder="1"/>
    <xf numFmtId="0" fontId="20" fillId="15" borderId="14" xfId="0" applyFont="1" applyFill="1" applyBorder="1"/>
    <xf numFmtId="2" fontId="20" fillId="23" borderId="22" xfId="2" applyNumberFormat="1" applyFont="1" applyFill="1" applyBorder="1" applyAlignment="1">
      <alignment horizontal="center"/>
    </xf>
    <xf numFmtId="0" fontId="0" fillId="0" borderId="1" xfId="0" applyFill="1" applyBorder="1" applyAlignment="1">
      <alignment horizontal="center"/>
    </xf>
    <xf numFmtId="0" fontId="8" fillId="15" borderId="14" xfId="0" applyFont="1" applyFill="1" applyBorder="1"/>
    <xf numFmtId="0" fontId="8" fillId="3" borderId="2" xfId="0" applyFont="1" applyFill="1" applyBorder="1"/>
    <xf numFmtId="0" fontId="9" fillId="0" borderId="1" xfId="0" applyFont="1" applyFill="1" applyBorder="1"/>
    <xf numFmtId="171" fontId="8" fillId="3" borderId="2" xfId="3" applyNumberFormat="1" applyFont="1" applyFill="1" applyBorder="1"/>
    <xf numFmtId="171" fontId="8" fillId="3" borderId="2" xfId="0" applyNumberFormat="1" applyFont="1" applyFill="1" applyBorder="1"/>
    <xf numFmtId="2" fontId="8" fillId="5" borderId="4" xfId="0" applyNumberFormat="1" applyFont="1" applyFill="1" applyBorder="1"/>
    <xf numFmtId="10" fontId="20" fillId="16" borderId="15" xfId="3" applyNumberFormat="1" applyFont="1" applyFill="1"/>
    <xf numFmtId="0" fontId="20" fillId="0" borderId="23" xfId="0" applyFont="1" applyFill="1" applyBorder="1"/>
    <xf numFmtId="0" fontId="4" fillId="0" borderId="24" xfId="0" applyFont="1" applyFill="1" applyBorder="1"/>
    <xf numFmtId="0" fontId="4" fillId="0" borderId="25" xfId="0" applyFont="1" applyFill="1" applyBorder="1"/>
    <xf numFmtId="166" fontId="20" fillId="23" borderId="22" xfId="2" applyFont="1" applyFill="1" applyBorder="1" applyAlignment="1">
      <alignment horizontal="center"/>
    </xf>
    <xf numFmtId="175" fontId="8" fillId="15" borderId="14" xfId="2" applyNumberFormat="1" applyFont="1" applyFill="1" applyBorder="1"/>
    <xf numFmtId="173" fontId="8" fillId="3" borderId="2" xfId="0" applyNumberFormat="1" applyFont="1" applyFill="1" applyBorder="1"/>
    <xf numFmtId="175" fontId="8" fillId="3" borderId="2" xfId="0" applyNumberFormat="1" applyFont="1" applyFill="1" applyBorder="1"/>
    <xf numFmtId="0" fontId="0" fillId="3" borderId="2" xfId="0" applyFill="1" applyBorder="1"/>
    <xf numFmtId="175" fontId="0" fillId="3" borderId="2" xfId="2" applyNumberFormat="1" applyFill="1" applyBorder="1"/>
    <xf numFmtId="173" fontId="0" fillId="3" borderId="2" xfId="0" applyNumberFormat="1" applyFill="1" applyBorder="1"/>
    <xf numFmtId="0" fontId="0" fillId="0" borderId="0" xfId="0" applyAlignment="1">
      <alignment horizontal="center"/>
    </xf>
    <xf numFmtId="10" fontId="0" fillId="0" borderId="1" xfId="3" applyNumberFormat="1" applyFill="1" applyBorder="1" applyAlignment="1">
      <alignment horizontal="center"/>
    </xf>
    <xf numFmtId="168" fontId="0" fillId="15" borderId="14" xfId="0" applyNumberFormat="1" applyFill="1" applyBorder="1" applyAlignment="1">
      <alignment horizontal="center"/>
    </xf>
    <xf numFmtId="2" fontId="29" fillId="0" borderId="1" xfId="0" applyNumberFormat="1" applyFont="1" applyFill="1" applyBorder="1" applyAlignment="1">
      <alignment horizontal="center"/>
    </xf>
    <xf numFmtId="2" fontId="29" fillId="0" borderId="0" xfId="0" applyNumberFormat="1" applyFont="1"/>
    <xf numFmtId="2" fontId="8" fillId="0" borderId="0" xfId="0" applyNumberFormat="1" applyFont="1"/>
    <xf numFmtId="1" fontId="29" fillId="0" borderId="1" xfId="0" applyNumberFormat="1" applyFont="1" applyFill="1" applyBorder="1" applyAlignment="1">
      <alignment horizontal="center"/>
    </xf>
    <xf numFmtId="2" fontId="29" fillId="5" borderId="4" xfId="0" applyNumberFormat="1" applyFont="1" applyFill="1" applyBorder="1" applyAlignment="1">
      <alignment horizontal="center"/>
    </xf>
    <xf numFmtId="2" fontId="30" fillId="0" borderId="0" xfId="0" applyNumberFormat="1" applyFont="1"/>
    <xf numFmtId="2" fontId="29" fillId="0" borderId="26" xfId="0" applyNumberFormat="1" applyFont="1" applyFill="1" applyBorder="1" applyAlignment="1">
      <alignment horizontal="centerContinuous"/>
    </xf>
    <xf numFmtId="2" fontId="29" fillId="0" borderId="27" xfId="0" applyNumberFormat="1" applyFont="1" applyFill="1" applyBorder="1" applyAlignment="1">
      <alignment horizontal="centerContinuous"/>
    </xf>
    <xf numFmtId="166" fontId="29" fillId="0" borderId="1" xfId="2" applyFont="1" applyFill="1" applyBorder="1"/>
    <xf numFmtId="2" fontId="29" fillId="0" borderId="5" xfId="0" applyNumberFormat="1" applyFont="1" applyFill="1" applyBorder="1" applyAlignment="1">
      <alignment horizontal="center"/>
    </xf>
    <xf numFmtId="166" fontId="29" fillId="0" borderId="5" xfId="2" applyFont="1" applyFill="1" applyBorder="1"/>
    <xf numFmtId="168" fontId="8" fillId="0" borderId="3" xfId="0" applyNumberFormat="1" applyFont="1" applyFill="1" applyBorder="1"/>
    <xf numFmtId="168" fontId="8" fillId="0" borderId="28" xfId="0" applyNumberFormat="1" applyFont="1" applyFill="1" applyBorder="1"/>
    <xf numFmtId="164" fontId="8" fillId="0" borderId="1" xfId="2" applyNumberFormat="1" applyFont="1" applyFill="1" applyBorder="1"/>
    <xf numFmtId="166" fontId="20" fillId="30" borderId="29" xfId="0" applyNumberFormat="1" applyFont="1" applyFill="1" applyBorder="1" applyAlignment="1">
      <alignment horizontal="center"/>
    </xf>
    <xf numFmtId="166" fontId="40" fillId="31" borderId="30" xfId="0" applyNumberFormat="1" applyFont="1" applyFill="1" applyBorder="1" applyAlignment="1">
      <alignment horizontal="left"/>
    </xf>
    <xf numFmtId="168" fontId="0" fillId="0" borderId="1" xfId="0" applyNumberFormat="1" applyFill="1" applyBorder="1" applyAlignment="1">
      <alignment horizontal="center"/>
    </xf>
    <xf numFmtId="168" fontId="0" fillId="0" borderId="1" xfId="0" applyNumberFormat="1" applyFill="1" applyBorder="1"/>
    <xf numFmtId="168" fontId="0" fillId="0" borderId="1" xfId="3" applyNumberFormat="1" applyFill="1" applyBorder="1" applyAlignment="1">
      <alignment horizontal="center"/>
    </xf>
    <xf numFmtId="168" fontId="0" fillId="0" borderId="0" xfId="0" applyNumberFormat="1" applyAlignment="1">
      <alignment horizontal="center"/>
    </xf>
    <xf numFmtId="168" fontId="0" fillId="0" borderId="0" xfId="0" applyNumberFormat="1"/>
    <xf numFmtId="168" fontId="8" fillId="8" borderId="7" xfId="0" applyNumberFormat="1" applyFont="1" applyFill="1" applyBorder="1"/>
    <xf numFmtId="0" fontId="22" fillId="0" borderId="18" xfId="0" applyFont="1" applyFill="1" applyBorder="1"/>
    <xf numFmtId="0" fontId="31" fillId="0" borderId="0" xfId="0" applyFont="1"/>
    <xf numFmtId="0" fontId="20" fillId="0" borderId="31" xfId="0" applyFont="1" applyFill="1" applyBorder="1"/>
    <xf numFmtId="0" fontId="20" fillId="0" borderId="32" xfId="0" applyFont="1" applyFill="1" applyBorder="1"/>
    <xf numFmtId="0" fontId="12" fillId="34" borderId="33" xfId="0" applyFont="1" applyFill="1" applyBorder="1" applyAlignment="1">
      <alignment vertical="center" wrapText="1"/>
    </xf>
    <xf numFmtId="0" fontId="9" fillId="35" borderId="34" xfId="0" applyFont="1" applyFill="1" applyBorder="1" applyAlignment="1">
      <alignment horizontal="center" vertical="center" wrapText="1"/>
    </xf>
    <xf numFmtId="0" fontId="9" fillId="36" borderId="35" xfId="0" applyFont="1" applyFill="1" applyBorder="1" applyAlignment="1">
      <alignment horizontal="center" vertical="center" wrapText="1"/>
    </xf>
    <xf numFmtId="0" fontId="8" fillId="3" borderId="2" xfId="0" applyFont="1" applyFill="1" applyBorder="1" applyAlignment="1">
      <alignment horizontal="left" vertical="center" wrapText="1"/>
    </xf>
    <xf numFmtId="0" fontId="8" fillId="37" borderId="36" xfId="0" applyFont="1" applyFill="1" applyBorder="1" applyAlignment="1">
      <alignment horizontal="left" vertical="center" wrapText="1"/>
    </xf>
    <xf numFmtId="9" fontId="8" fillId="3" borderId="2" xfId="3" applyFont="1" applyFill="1" applyBorder="1" applyAlignment="1">
      <alignment horizontal="left" vertical="center" wrapText="1"/>
    </xf>
    <xf numFmtId="0" fontId="8" fillId="37" borderId="36" xfId="0" applyFont="1" applyFill="1" applyBorder="1" applyAlignment="1">
      <alignment horizontal="left" vertical="center"/>
    </xf>
    <xf numFmtId="0" fontId="8" fillId="3" borderId="2" xfId="0" applyFont="1" applyFill="1" applyBorder="1" applyAlignment="1">
      <alignment horizontal="left"/>
    </xf>
    <xf numFmtId="0" fontId="8" fillId="37" borderId="36" xfId="0" applyFont="1" applyFill="1" applyBorder="1" applyAlignment="1">
      <alignment horizontal="left"/>
    </xf>
    <xf numFmtId="10" fontId="8" fillId="38" borderId="37" xfId="3" applyNumberFormat="1" applyFont="1" applyFill="1" applyBorder="1" applyAlignment="1">
      <alignment horizontal="left"/>
    </xf>
    <xf numFmtId="0" fontId="8" fillId="39" borderId="38" xfId="0" applyFont="1" applyFill="1" applyBorder="1" applyAlignment="1">
      <alignment horizontal="left"/>
    </xf>
    <xf numFmtId="0" fontId="8" fillId="34" borderId="33" xfId="0" applyFont="1" applyFill="1" applyBorder="1" applyAlignment="1">
      <alignment vertical="center"/>
    </xf>
    <xf numFmtId="0" fontId="8" fillId="40" borderId="39" xfId="0" applyFont="1" applyFill="1" applyBorder="1"/>
    <xf numFmtId="0" fontId="8" fillId="41" borderId="40" xfId="0" applyFont="1" applyFill="1" applyBorder="1"/>
    <xf numFmtId="168" fontId="3" fillId="0" borderId="0" xfId="0" applyNumberFormat="1" applyFont="1" applyAlignment="1">
      <alignment horizontal="center"/>
    </xf>
    <xf numFmtId="168" fontId="3" fillId="0" borderId="0" xfId="0" applyNumberFormat="1" applyFont="1"/>
    <xf numFmtId="17" fontId="19" fillId="15" borderId="14" xfId="0" applyNumberFormat="1" applyFont="1" applyFill="1" applyBorder="1" applyAlignment="1">
      <alignment horizontal="center"/>
    </xf>
    <xf numFmtId="0" fontId="19" fillId="15" borderId="14" xfId="0" applyFont="1" applyFill="1" applyBorder="1" applyAlignment="1">
      <alignment horizontal="center"/>
    </xf>
    <xf numFmtId="10" fontId="8" fillId="15" borderId="14" xfId="0" applyNumberFormat="1" applyFont="1" applyFill="1" applyBorder="1" applyAlignment="1">
      <alignment horizontal="center"/>
    </xf>
    <xf numFmtId="10" fontId="8" fillId="3" borderId="2" xfId="0" applyNumberFormat="1" applyFont="1" applyFill="1" applyBorder="1" applyAlignment="1">
      <alignment horizontal="center"/>
    </xf>
    <xf numFmtId="170" fontId="8" fillId="5" borderId="4" xfId="0" applyNumberFormat="1" applyFont="1" applyFill="1" applyBorder="1"/>
    <xf numFmtId="0" fontId="34" fillId="0" borderId="1" xfId="0" applyFont="1" applyFill="1" applyBorder="1" applyAlignment="1">
      <alignment horizontal="center"/>
    </xf>
    <xf numFmtId="9" fontId="8" fillId="3" borderId="2" xfId="0" applyNumberFormat="1" applyFont="1" applyFill="1" applyBorder="1" applyAlignment="1">
      <alignment horizontal="center"/>
    </xf>
    <xf numFmtId="0" fontId="8" fillId="8" borderId="7" xfId="0" applyFont="1" applyFill="1" applyBorder="1" applyAlignment="1">
      <alignment horizontal="center"/>
    </xf>
    <xf numFmtId="0" fontId="32" fillId="0" borderId="0" xfId="0" applyFont="1"/>
    <xf numFmtId="2" fontId="8" fillId="15" borderId="14" xfId="0" applyNumberFormat="1" applyFont="1" applyFill="1" applyBorder="1"/>
    <xf numFmtId="0" fontId="23" fillId="0" borderId="0" xfId="0" applyFont="1" applyAlignment="1">
      <alignment horizontal="left"/>
    </xf>
    <xf numFmtId="168" fontId="0" fillId="3" borderId="2" xfId="0" applyNumberFormat="1" applyFill="1" applyBorder="1"/>
    <xf numFmtId="0" fontId="3" fillId="0" borderId="1" xfId="0" applyFont="1" applyFill="1" applyBorder="1" applyAlignment="1">
      <alignment horizontal="center" wrapText="1"/>
    </xf>
    <xf numFmtId="10" fontId="3" fillId="0" borderId="1" xfId="0" applyNumberFormat="1" applyFont="1" applyFill="1" applyBorder="1" applyAlignment="1">
      <alignment horizontal="center" wrapText="1"/>
    </xf>
    <xf numFmtId="2" fontId="3" fillId="0" borderId="1" xfId="0" applyNumberFormat="1" applyFont="1" applyFill="1" applyBorder="1" applyAlignment="1">
      <alignment horizontal="center" wrapText="1"/>
    </xf>
    <xf numFmtId="0" fontId="9" fillId="16" borderId="15" xfId="0" applyFont="1" applyFill="1"/>
    <xf numFmtId="0" fontId="32" fillId="16" borderId="15" xfId="0" applyFont="1" applyFill="1"/>
    <xf numFmtId="0" fontId="22" fillId="0" borderId="1" xfId="0" applyFont="1" applyFill="1" applyBorder="1"/>
    <xf numFmtId="0" fontId="22" fillId="0" borderId="12" xfId="0" applyFont="1" applyFill="1" applyBorder="1"/>
    <xf numFmtId="0" fontId="20" fillId="0" borderId="41" xfId="0" applyFont="1" applyFill="1" applyBorder="1"/>
    <xf numFmtId="0" fontId="35" fillId="0" borderId="0" xfId="0" applyFont="1"/>
    <xf numFmtId="0" fontId="4" fillId="15" borderId="14" xfId="0" applyFont="1" applyFill="1" applyBorder="1" applyAlignment="1">
      <alignment horizontal="center"/>
    </xf>
    <xf numFmtId="9" fontId="4" fillId="15" borderId="14" xfId="0" applyNumberFormat="1" applyFont="1" applyFill="1" applyBorder="1" applyAlignment="1">
      <alignment horizontal="center"/>
    </xf>
    <xf numFmtId="0" fontId="3" fillId="0" borderId="1" xfId="0" applyFont="1" applyFill="1" applyBorder="1"/>
    <xf numFmtId="10" fontId="34" fillId="0" borderId="42" xfId="0" applyNumberFormat="1" applyFont="1" applyFill="1" applyBorder="1" applyAlignment="1">
      <alignment horizontal="center"/>
    </xf>
    <xf numFmtId="10" fontId="20" fillId="15" borderId="14" xfId="3" applyNumberFormat="1" applyFont="1" applyFill="1" applyBorder="1" applyAlignment="1">
      <alignment horizontal="center"/>
    </xf>
    <xf numFmtId="168" fontId="20" fillId="0" borderId="0" xfId="0" applyNumberFormat="1" applyFont="1" applyAlignment="1">
      <alignment horizontal="center"/>
    </xf>
    <xf numFmtId="2" fontId="20" fillId="0" borderId="0" xfId="0" applyNumberFormat="1" applyFont="1" applyAlignment="1">
      <alignment horizontal="center"/>
    </xf>
    <xf numFmtId="172" fontId="20" fillId="44" borderId="43" xfId="0" applyNumberFormat="1" applyFont="1" applyFill="1" applyBorder="1"/>
    <xf numFmtId="10" fontId="20" fillId="44" borderId="43" xfId="0" applyNumberFormat="1" applyFont="1" applyFill="1" applyBorder="1"/>
    <xf numFmtId="10" fontId="20" fillId="44" borderId="43" xfId="3" applyNumberFormat="1" applyFont="1" applyFill="1" applyBorder="1"/>
    <xf numFmtId="2" fontId="20" fillId="44" borderId="43" xfId="0" applyNumberFormat="1" applyFont="1" applyFill="1" applyBorder="1"/>
    <xf numFmtId="10" fontId="20" fillId="45" borderId="44" xfId="3" applyNumberFormat="1" applyFont="1" applyFill="1" applyBorder="1"/>
    <xf numFmtId="10" fontId="20" fillId="46" borderId="45" xfId="3" applyNumberFormat="1" applyFont="1" applyFill="1" applyBorder="1"/>
    <xf numFmtId="0" fontId="4" fillId="0" borderId="1" xfId="0" applyFont="1" applyFill="1" applyBorder="1"/>
    <xf numFmtId="0" fontId="42" fillId="0" borderId="0" xfId="0" applyFont="1"/>
    <xf numFmtId="0" fontId="37" fillId="0" borderId="46" xfId="0" applyFont="1" applyFill="1" applyBorder="1" applyAlignment="1">
      <alignment horizontal="center"/>
    </xf>
    <xf numFmtId="0" fontId="37" fillId="0" borderId="47" xfId="0" applyFont="1" applyFill="1" applyBorder="1" applyAlignment="1">
      <alignment horizontal="center"/>
    </xf>
    <xf numFmtId="16" fontId="37" fillId="0" borderId="47" xfId="0" applyNumberFormat="1" applyFont="1" applyFill="1" applyBorder="1" applyAlignment="1">
      <alignment horizontal="center"/>
    </xf>
    <xf numFmtId="0" fontId="37" fillId="0" borderId="48" xfId="0" applyFont="1" applyFill="1" applyBorder="1" applyAlignment="1">
      <alignment horizontal="center"/>
    </xf>
    <xf numFmtId="0" fontId="37" fillId="0" borderId="49" xfId="0" applyFont="1" applyFill="1" applyBorder="1"/>
    <xf numFmtId="166" fontId="39" fillId="0" borderId="50" xfId="2" applyFont="1" applyFill="1" applyBorder="1"/>
    <xf numFmtId="0" fontId="2" fillId="0" borderId="51" xfId="0" applyFont="1" applyFill="1" applyBorder="1"/>
    <xf numFmtId="0" fontId="2" fillId="0" borderId="52" xfId="0" applyFont="1" applyFill="1" applyBorder="1"/>
    <xf numFmtId="172" fontId="2" fillId="0" borderId="1" xfId="2" applyNumberFormat="1" applyFont="1" applyFill="1" applyBorder="1" applyAlignment="1">
      <alignment horizontal="center"/>
    </xf>
    <xf numFmtId="10" fontId="2" fillId="0" borderId="1" xfId="0" applyNumberFormat="1" applyFont="1" applyFill="1" applyBorder="1" applyAlignment="1">
      <alignment horizontal="center"/>
    </xf>
    <xf numFmtId="0" fontId="2" fillId="0" borderId="1" xfId="0" applyFont="1" applyFill="1" applyBorder="1" applyAlignment="1">
      <alignment horizontal="center"/>
    </xf>
    <xf numFmtId="10" fontId="2" fillId="0" borderId="26" xfId="0" applyNumberFormat="1" applyFont="1" applyFill="1" applyBorder="1" applyAlignment="1">
      <alignment horizontal="center"/>
    </xf>
    <xf numFmtId="10" fontId="2" fillId="0" borderId="27" xfId="0" applyNumberFormat="1" applyFont="1" applyFill="1" applyBorder="1" applyAlignment="1">
      <alignment horizontal="center"/>
    </xf>
    <xf numFmtId="2" fontId="2" fillId="0" borderId="26" xfId="0" applyNumberFormat="1" applyFont="1" applyFill="1" applyBorder="1"/>
    <xf numFmtId="2" fontId="2" fillId="0" borderId="27" xfId="0" applyNumberFormat="1" applyFont="1" applyFill="1" applyBorder="1" applyAlignment="1">
      <alignment horizontal="left"/>
    </xf>
    <xf numFmtId="10" fontId="2" fillId="0" borderId="26" xfId="3" applyNumberFormat="1" applyFont="1" applyFill="1" applyBorder="1" applyAlignment="1">
      <alignment horizontal="right"/>
    </xf>
    <xf numFmtId="10" fontId="2" fillId="0" borderId="27" xfId="3" applyNumberFormat="1" applyFont="1" applyFill="1" applyBorder="1" applyAlignment="1">
      <alignment horizontal="center"/>
    </xf>
    <xf numFmtId="0" fontId="2" fillId="0" borderId="53" xfId="0" applyFont="1" applyFill="1" applyBorder="1"/>
    <xf numFmtId="10" fontId="2" fillId="0" borderId="54" xfId="0" applyNumberFormat="1" applyFont="1" applyFill="1" applyBorder="1" applyAlignment="1">
      <alignment horizontal="center"/>
    </xf>
    <xf numFmtId="0" fontId="2" fillId="0" borderId="52" xfId="0" applyFont="1" applyFill="1" applyBorder="1" applyAlignment="1">
      <alignment horizontal="center"/>
    </xf>
    <xf numFmtId="176" fontId="2" fillId="0" borderId="1" xfId="2" applyNumberFormat="1" applyFont="1" applyFill="1" applyBorder="1"/>
    <xf numFmtId="10" fontId="2" fillId="0" borderId="1" xfId="3" applyNumberFormat="1" applyFont="1" applyFill="1" applyBorder="1" applyAlignment="1">
      <alignment horizontal="center"/>
    </xf>
    <xf numFmtId="0" fontId="2" fillId="0" borderId="53" xfId="0" applyFont="1" applyFill="1" applyBorder="1" applyAlignment="1">
      <alignment horizontal="center"/>
    </xf>
    <xf numFmtId="176" fontId="2" fillId="0" borderId="54" xfId="2" applyNumberFormat="1" applyFont="1" applyFill="1" applyBorder="1"/>
    <xf numFmtId="10" fontId="2" fillId="0" borderId="54" xfId="3" applyNumberFormat="1" applyFont="1" applyFill="1" applyBorder="1" applyAlignment="1">
      <alignment horizontal="center"/>
    </xf>
    <xf numFmtId="172" fontId="2" fillId="0" borderId="49" xfId="2" applyNumberFormat="1" applyFont="1" applyFill="1" applyBorder="1"/>
    <xf numFmtId="172" fontId="2" fillId="0" borderId="10" xfId="2" applyNumberFormat="1" applyFont="1" applyFill="1" applyBorder="1"/>
    <xf numFmtId="0" fontId="2" fillId="0" borderId="10" xfId="0" applyFont="1" applyFill="1" applyBorder="1"/>
    <xf numFmtId="0" fontId="2" fillId="0" borderId="11" xfId="0" applyFont="1" applyFill="1" applyBorder="1"/>
    <xf numFmtId="172" fontId="2" fillId="0" borderId="1" xfId="2" applyNumberFormat="1" applyFont="1" applyFill="1" applyBorder="1"/>
    <xf numFmtId="172" fontId="2" fillId="0" borderId="0" xfId="2" applyNumberFormat="1" applyFont="1"/>
    <xf numFmtId="0" fontId="2" fillId="0" borderId="0" xfId="0" applyFont="1"/>
    <xf numFmtId="0" fontId="2" fillId="0" borderId="19" xfId="0" applyFont="1" applyFill="1" applyBorder="1"/>
    <xf numFmtId="0" fontId="2" fillId="0" borderId="9" xfId="0" applyFont="1" applyFill="1" applyBorder="1" applyAlignment="1">
      <alignment horizontal="left"/>
    </xf>
    <xf numFmtId="0" fontId="2" fillId="0" borderId="0" xfId="0" applyFont="1" applyAlignment="1">
      <alignment horizontal="left"/>
    </xf>
    <xf numFmtId="167" fontId="2" fillId="0" borderId="1" xfId="0" applyNumberFormat="1" applyFont="1" applyFill="1" applyBorder="1"/>
    <xf numFmtId="0" fontId="2" fillId="0" borderId="9" xfId="0" applyFont="1" applyFill="1" applyBorder="1"/>
    <xf numFmtId="0" fontId="2" fillId="0" borderId="55" xfId="0" applyFont="1" applyFill="1" applyBorder="1"/>
    <xf numFmtId="0" fontId="2" fillId="0" borderId="56" xfId="0" applyFont="1" applyFill="1" applyBorder="1"/>
    <xf numFmtId="10" fontId="2" fillId="0" borderId="31" xfId="3" applyNumberFormat="1" applyFont="1" applyFill="1" applyBorder="1" applyAlignment="1">
      <alignment horizontal="right"/>
    </xf>
    <xf numFmtId="10" fontId="2" fillId="0" borderId="25" xfId="3" applyNumberFormat="1" applyFont="1" applyFill="1" applyBorder="1" applyAlignment="1">
      <alignment horizontal="center"/>
    </xf>
    <xf numFmtId="0" fontId="2" fillId="0" borderId="24" xfId="0" applyFont="1" applyFill="1" applyBorder="1"/>
    <xf numFmtId="10" fontId="2" fillId="0" borderId="5" xfId="0" applyNumberFormat="1" applyFont="1" applyFill="1" applyBorder="1" applyAlignment="1">
      <alignment horizontal="center"/>
    </xf>
    <xf numFmtId="0" fontId="2" fillId="0" borderId="50" xfId="0" applyFont="1" applyFill="1" applyBorder="1" applyAlignment="1">
      <alignment horizontal="center"/>
    </xf>
    <xf numFmtId="0" fontId="2" fillId="0" borderId="57" xfId="0" applyFont="1" applyFill="1" applyBorder="1" applyAlignment="1">
      <alignment horizontal="center"/>
    </xf>
    <xf numFmtId="2" fontId="2" fillId="0" borderId="23" xfId="0" applyNumberFormat="1" applyFont="1" applyFill="1" applyBorder="1"/>
    <xf numFmtId="10" fontId="2" fillId="0" borderId="25" xfId="3" applyNumberFormat="1" applyFont="1" applyFill="1" applyBorder="1" applyAlignment="1">
      <alignment horizontal="left"/>
    </xf>
    <xf numFmtId="168" fontId="2" fillId="0" borderId="58" xfId="0" applyNumberFormat="1" applyFont="1" applyFill="1" applyBorder="1" applyAlignment="1">
      <alignment horizontal="left"/>
    </xf>
    <xf numFmtId="0" fontId="37" fillId="0" borderId="59" xfId="0" applyFont="1" applyFill="1" applyBorder="1" applyAlignment="1">
      <alignment horizontal="left"/>
    </xf>
    <xf numFmtId="176" fontId="2" fillId="0" borderId="26" xfId="2" applyNumberFormat="1" applyFont="1" applyFill="1" applyBorder="1" applyAlignment="1">
      <alignment horizontal="left"/>
    </xf>
    <xf numFmtId="172" fontId="2" fillId="0" borderId="26" xfId="2" applyNumberFormat="1" applyFont="1" applyFill="1" applyBorder="1"/>
    <xf numFmtId="10" fontId="2" fillId="0" borderId="27" xfId="0" applyNumberFormat="1" applyFont="1" applyFill="1" applyBorder="1" applyAlignment="1">
      <alignment horizontal="left"/>
    </xf>
    <xf numFmtId="0" fontId="0" fillId="0" borderId="0" xfId="0" applyAlignment="1">
      <alignment horizontal="left"/>
    </xf>
    <xf numFmtId="0" fontId="33" fillId="0" borderId="1" xfId="0" applyFont="1" applyFill="1" applyBorder="1" applyAlignment="1">
      <alignment horizontal="center"/>
    </xf>
    <xf numFmtId="0" fontId="0" fillId="15" borderId="14" xfId="0" applyFill="1" applyBorder="1"/>
    <xf numFmtId="10" fontId="8" fillId="15" borderId="14" xfId="0" applyNumberFormat="1" applyFont="1" applyFill="1" applyBorder="1"/>
    <xf numFmtId="10" fontId="34" fillId="0" borderId="42" xfId="3" applyNumberFormat="1" applyFont="1" applyFill="1" applyBorder="1" applyAlignment="1">
      <alignment horizontal="center"/>
    </xf>
    <xf numFmtId="10" fontId="0" fillId="0" borderId="0" xfId="0" applyNumberFormat="1"/>
    <xf numFmtId="166" fontId="0" fillId="15" borderId="14" xfId="2" applyFill="1" applyBorder="1" applyAlignment="1">
      <alignment horizontal="center"/>
    </xf>
    <xf numFmtId="0" fontId="34" fillId="15" borderId="14" xfId="0" applyFont="1" applyFill="1" applyBorder="1"/>
    <xf numFmtId="0" fontId="34" fillId="0" borderId="60" xfId="0" applyFont="1" applyFill="1" applyBorder="1" applyAlignment="1">
      <alignment vertical="center" wrapText="1"/>
    </xf>
    <xf numFmtId="0" fontId="36" fillId="0" borderId="0" xfId="0" applyFont="1"/>
    <xf numFmtId="166" fontId="36" fillId="0" borderId="0" xfId="0" applyNumberFormat="1" applyFont="1"/>
    <xf numFmtId="10" fontId="36" fillId="0" borderId="0" xfId="0" applyNumberFormat="1" applyFont="1"/>
    <xf numFmtId="166" fontId="0" fillId="0" borderId="0" xfId="0" applyNumberFormat="1"/>
    <xf numFmtId="2" fontId="36" fillId="0" borderId="0" xfId="0" applyNumberFormat="1" applyFont="1"/>
    <xf numFmtId="166" fontId="36" fillId="0" borderId="0" xfId="2" applyFont="1"/>
    <xf numFmtId="10" fontId="36" fillId="0" borderId="0" xfId="3" applyNumberFormat="1" applyFont="1"/>
    <xf numFmtId="10" fontId="0" fillId="0" borderId="0" xfId="3" applyNumberFormat="1"/>
    <xf numFmtId="173" fontId="0" fillId="0" borderId="0" xfId="0" applyNumberFormat="1"/>
    <xf numFmtId="0" fontId="37" fillId="0" borderId="1" xfId="0" applyFont="1" applyFill="1" applyBorder="1"/>
    <xf numFmtId="0" fontId="37" fillId="0" borderId="26" xfId="0" applyFont="1" applyFill="1" applyBorder="1" applyAlignment="1">
      <alignment horizontal="center"/>
    </xf>
    <xf numFmtId="0" fontId="2" fillId="0" borderId="1" xfId="0" applyFont="1" applyFill="1" applyBorder="1"/>
    <xf numFmtId="10" fontId="2" fillId="0" borderId="1" xfId="3" applyNumberFormat="1" applyFont="1" applyFill="1" applyBorder="1"/>
    <xf numFmtId="10" fontId="2" fillId="0" borderId="1" xfId="0" applyNumberFormat="1" applyFont="1" applyFill="1" applyBorder="1"/>
    <xf numFmtId="10" fontId="2" fillId="0" borderId="26" xfId="3" applyNumberFormat="1" applyFont="1" applyFill="1" applyBorder="1" applyAlignment="1">
      <alignment horizontal="center"/>
    </xf>
    <xf numFmtId="0" fontId="39" fillId="0" borderId="61" xfId="0" applyFont="1" applyFill="1" applyBorder="1" applyAlignment="1">
      <alignment horizontal="left"/>
    </xf>
    <xf numFmtId="0" fontId="39" fillId="0" borderId="1" xfId="0" applyFont="1" applyFill="1" applyBorder="1" applyAlignment="1">
      <alignment horizontal="center"/>
    </xf>
    <xf numFmtId="10" fontId="39" fillId="0" borderId="1" xfId="0" applyNumberFormat="1" applyFont="1" applyFill="1" applyBorder="1" applyAlignment="1">
      <alignment horizontal="center"/>
    </xf>
    <xf numFmtId="0" fontId="39" fillId="0" borderId="1" xfId="0" applyFont="1" applyFill="1" applyBorder="1"/>
    <xf numFmtId="10" fontId="39" fillId="0" borderId="27" xfId="0" applyNumberFormat="1" applyFont="1" applyFill="1" applyBorder="1" applyAlignment="1">
      <alignment horizontal="center"/>
    </xf>
    <xf numFmtId="0" fontId="2" fillId="0" borderId="61" xfId="0" applyFont="1" applyFill="1" applyBorder="1" applyAlignment="1">
      <alignment horizontal="left"/>
    </xf>
    <xf numFmtId="0" fontId="39" fillId="0" borderId="62" xfId="0" applyFont="1" applyFill="1" applyBorder="1" applyAlignment="1">
      <alignment horizontal="center"/>
    </xf>
    <xf numFmtId="0" fontId="39" fillId="0" borderId="0" xfId="0" applyFont="1"/>
    <xf numFmtId="0" fontId="2" fillId="0" borderId="61" xfId="0" applyFont="1" applyFill="1" applyBorder="1"/>
    <xf numFmtId="0" fontId="2" fillId="0" borderId="1" xfId="0" applyFont="1" applyFill="1" applyBorder="1" applyAlignment="1">
      <alignment horizontal="left"/>
    </xf>
    <xf numFmtId="0" fontId="39" fillId="0" borderId="1" xfId="0" applyFont="1" applyFill="1" applyBorder="1" applyAlignment="1">
      <alignment horizontal="left"/>
    </xf>
    <xf numFmtId="10" fontId="39" fillId="0" borderId="26" xfId="0" applyNumberFormat="1" applyFont="1" applyFill="1" applyBorder="1" applyAlignment="1">
      <alignment horizontal="center"/>
    </xf>
    <xf numFmtId="10" fontId="2" fillId="0" borderId="27" xfId="3" applyNumberFormat="1" applyFont="1" applyFill="1" applyBorder="1"/>
    <xf numFmtId="0" fontId="2" fillId="0" borderId="63" xfId="0" applyFont="1" applyFill="1" applyBorder="1" applyAlignment="1">
      <alignment horizontal="left"/>
    </xf>
    <xf numFmtId="0" fontId="2" fillId="0" borderId="62" xfId="0" applyFont="1" applyFill="1" applyBorder="1" applyAlignment="1">
      <alignment horizontal="center"/>
    </xf>
    <xf numFmtId="10" fontId="2" fillId="0" borderId="0" xfId="3" applyNumberFormat="1" applyFont="1"/>
    <xf numFmtId="10" fontId="2" fillId="0" borderId="0" xfId="0" applyNumberFormat="1" applyFont="1" applyAlignment="1">
      <alignment horizontal="center"/>
    </xf>
    <xf numFmtId="0" fontId="2" fillId="0" borderId="62" xfId="0" applyFont="1" applyFill="1" applyBorder="1"/>
    <xf numFmtId="10" fontId="2" fillId="0" borderId="0" xfId="0" applyNumberFormat="1" applyFont="1"/>
    <xf numFmtId="0" fontId="3" fillId="0" borderId="1" xfId="0" applyFont="1" applyFill="1" applyBorder="1" applyAlignment="1">
      <alignment horizontal="center"/>
    </xf>
    <xf numFmtId="2" fontId="0" fillId="0" borderId="0" xfId="0" applyNumberFormat="1"/>
    <xf numFmtId="0" fontId="0" fillId="0" borderId="0" xfId="0" applyAlignment="1">
      <alignment wrapText="1"/>
    </xf>
    <xf numFmtId="10" fontId="0" fillId="0" borderId="0" xfId="0" applyNumberFormat="1" applyAlignment="1">
      <alignment wrapText="1"/>
    </xf>
    <xf numFmtId="2" fontId="0" fillId="0" borderId="0" xfId="0" applyNumberFormat="1" applyAlignment="1">
      <alignment wrapText="1"/>
    </xf>
    <xf numFmtId="0" fontId="3" fillId="0" borderId="0" xfId="0" applyFont="1" applyAlignment="1">
      <alignment wrapText="1"/>
    </xf>
    <xf numFmtId="0" fontId="3" fillId="0" borderId="1" xfId="0" applyFont="1" applyFill="1" applyBorder="1" applyAlignment="1">
      <alignment wrapText="1"/>
    </xf>
    <xf numFmtId="0" fontId="28" fillId="0" borderId="0" xfId="0" applyFont="1" applyAlignment="1">
      <alignment horizontal="left"/>
    </xf>
    <xf numFmtId="10" fontId="28" fillId="0" borderId="0" xfId="0" applyNumberFormat="1" applyFont="1"/>
    <xf numFmtId="2" fontId="28" fillId="0" borderId="0" xfId="0" applyNumberFormat="1" applyFont="1"/>
    <xf numFmtId="10" fontId="0" fillId="15" borderId="14" xfId="0" applyNumberFormat="1" applyFill="1" applyBorder="1"/>
    <xf numFmtId="174" fontId="33" fillId="15" borderId="14" xfId="0" applyNumberFormat="1" applyFont="1" applyFill="1" applyBorder="1" applyAlignment="1">
      <alignment horizontal="right"/>
    </xf>
    <xf numFmtId="0" fontId="2" fillId="0" borderId="9" xfId="0" applyFont="1" applyFill="1" applyBorder="1" applyAlignment="1">
      <alignment wrapText="1"/>
    </xf>
    <xf numFmtId="0" fontId="13" fillId="0" borderId="0" xfId="0" applyFont="1"/>
    <xf numFmtId="10" fontId="20" fillId="65" borderId="64" xfId="0" applyNumberFormat="1" applyFont="1" applyFill="1" applyBorder="1" applyAlignment="1">
      <alignment horizontal="center"/>
    </xf>
    <xf numFmtId="166" fontId="41" fillId="66" borderId="65" xfId="2" applyFont="1" applyFill="1" applyBorder="1"/>
    <xf numFmtId="0" fontId="21" fillId="0" borderId="0" xfId="0" applyFont="1"/>
    <xf numFmtId="0" fontId="19" fillId="0" borderId="66" xfId="0" applyFont="1" applyFill="1" applyBorder="1" applyAlignment="1">
      <alignment horizontal="center"/>
    </xf>
    <xf numFmtId="0" fontId="19" fillId="0" borderId="13" xfId="0" applyFont="1" applyFill="1" applyBorder="1" applyAlignment="1">
      <alignment horizontal="center"/>
    </xf>
    <xf numFmtId="0" fontId="19" fillId="0" borderId="60" xfId="0" applyFont="1" applyFill="1" applyBorder="1" applyAlignment="1">
      <alignment horizontal="center"/>
    </xf>
    <xf numFmtId="0" fontId="19" fillId="0" borderId="58" xfId="0" applyFont="1" applyFill="1" applyBorder="1" applyAlignment="1">
      <alignment horizontal="center"/>
    </xf>
    <xf numFmtId="0" fontId="19" fillId="0" borderId="17" xfId="0" applyFont="1" applyFill="1" applyBorder="1" applyAlignment="1">
      <alignment horizontal="center"/>
    </xf>
    <xf numFmtId="0" fontId="19" fillId="0" borderId="10" xfId="0" applyFont="1" applyFill="1" applyBorder="1" applyAlignment="1">
      <alignment horizontal="center"/>
    </xf>
    <xf numFmtId="0" fontId="19" fillId="0" borderId="11" xfId="0" applyFont="1" applyFill="1" applyBorder="1" applyAlignment="1">
      <alignment horizontal="center"/>
    </xf>
    <xf numFmtId="0" fontId="2" fillId="0" borderId="67" xfId="0" applyFont="1" applyFill="1" applyBorder="1" applyAlignment="1">
      <alignment horizontal="left"/>
    </xf>
    <xf numFmtId="0" fontId="2" fillId="0" borderId="27" xfId="0" applyFont="1" applyFill="1" applyBorder="1" applyAlignment="1">
      <alignment horizontal="left"/>
    </xf>
    <xf numFmtId="0" fontId="38" fillId="0" borderId="0" xfId="0" applyFont="1" applyAlignment="1">
      <alignment horizontal="center"/>
    </xf>
    <xf numFmtId="0" fontId="43" fillId="0" borderId="1" xfId="0" applyFont="1" applyFill="1" applyBorder="1" applyAlignment="1">
      <alignment horizontal="center"/>
    </xf>
    <xf numFmtId="0" fontId="43" fillId="0" borderId="26" xfId="0" applyFont="1" applyFill="1" applyBorder="1" applyAlignment="1">
      <alignment horizontal="center"/>
    </xf>
    <xf numFmtId="0" fontId="43" fillId="0" borderId="9" xfId="0" applyFont="1" applyFill="1" applyBorder="1" applyAlignment="1">
      <alignment horizontal="center"/>
    </xf>
    <xf numFmtId="0" fontId="43" fillId="0" borderId="27" xfId="0" applyFont="1" applyFill="1" applyBorder="1" applyAlignment="1">
      <alignment horizontal="center"/>
    </xf>
    <xf numFmtId="0" fontId="43" fillId="0" borderId="62" xfId="0" applyFont="1" applyFill="1" applyBorder="1" applyAlignment="1">
      <alignment horizontal="center"/>
    </xf>
    <xf numFmtId="0" fontId="2" fillId="0" borderId="68" xfId="0" applyFont="1" applyFill="1" applyBorder="1" applyAlignment="1">
      <alignment horizontal="left"/>
    </xf>
    <xf numFmtId="0" fontId="2" fillId="0" borderId="69" xfId="0" applyFont="1" applyFill="1" applyBorder="1" applyAlignment="1">
      <alignment horizontal="left"/>
    </xf>
    <xf numFmtId="0" fontId="2" fillId="0" borderId="70" xfId="0" applyFont="1" applyFill="1" applyBorder="1" applyAlignment="1">
      <alignment horizontal="left"/>
    </xf>
    <xf numFmtId="0" fontId="2" fillId="0" borderId="23" xfId="0" applyFont="1" applyFill="1" applyBorder="1" applyAlignment="1">
      <alignment horizontal="left" vertical="top" wrapText="1"/>
    </xf>
    <xf numFmtId="0" fontId="43" fillId="0" borderId="24" xfId="0" applyFont="1" applyFill="1" applyBorder="1" applyAlignment="1">
      <alignment horizontal="left" vertical="top" wrapText="1"/>
    </xf>
    <xf numFmtId="0" fontId="43" fillId="0" borderId="25" xfId="0" applyFont="1" applyFill="1" applyBorder="1" applyAlignment="1">
      <alignment horizontal="left" vertical="top" wrapText="1"/>
    </xf>
    <xf numFmtId="0" fontId="43" fillId="0" borderId="31" xfId="0" applyFont="1" applyFill="1" applyBorder="1" applyAlignment="1">
      <alignment horizontal="left" vertical="top" wrapText="1"/>
    </xf>
    <xf numFmtId="0" fontId="43" fillId="0" borderId="0" xfId="0" applyFont="1" applyAlignment="1">
      <alignment horizontal="left" vertical="top" wrapText="1"/>
    </xf>
    <xf numFmtId="0" fontId="43" fillId="0" borderId="32" xfId="0" applyFont="1" applyFill="1" applyBorder="1" applyAlignment="1">
      <alignment horizontal="left" vertical="top" wrapText="1"/>
    </xf>
    <xf numFmtId="0" fontId="43" fillId="0" borderId="71" xfId="0" applyFont="1" applyFill="1" applyBorder="1" applyAlignment="1">
      <alignment horizontal="left" vertical="top" wrapText="1"/>
    </xf>
    <xf numFmtId="0" fontId="43" fillId="0" borderId="72" xfId="0" applyFont="1" applyFill="1" applyBorder="1" applyAlignment="1">
      <alignment horizontal="left" vertical="top" wrapText="1"/>
    </xf>
    <xf numFmtId="0" fontId="43" fillId="0" borderId="42" xfId="0" applyFont="1" applyFill="1" applyBorder="1" applyAlignment="1">
      <alignment horizontal="left" vertical="top" wrapText="1"/>
    </xf>
    <xf numFmtId="0" fontId="44" fillId="0" borderId="23" xfId="0" applyFont="1" applyFill="1" applyBorder="1" applyAlignment="1">
      <alignment horizontal="left" wrapText="1"/>
    </xf>
    <xf numFmtId="0" fontId="45" fillId="0" borderId="24" xfId="0" applyFont="1" applyFill="1" applyBorder="1" applyAlignment="1">
      <alignment horizontal="left" wrapText="1"/>
    </xf>
    <xf numFmtId="0" fontId="45" fillId="0" borderId="25" xfId="0" applyFont="1" applyFill="1" applyBorder="1" applyAlignment="1">
      <alignment horizontal="left" wrapText="1"/>
    </xf>
    <xf numFmtId="0" fontId="45" fillId="0" borderId="31" xfId="0" applyFont="1" applyFill="1" applyBorder="1" applyAlignment="1">
      <alignment horizontal="left" wrapText="1"/>
    </xf>
    <xf numFmtId="0" fontId="45" fillId="0" borderId="0" xfId="0" applyFont="1" applyAlignment="1">
      <alignment horizontal="left" wrapText="1"/>
    </xf>
    <xf numFmtId="0" fontId="45" fillId="0" borderId="32" xfId="0" applyFont="1" applyFill="1" applyBorder="1" applyAlignment="1">
      <alignment horizontal="left" wrapText="1"/>
    </xf>
    <xf numFmtId="0" fontId="45" fillId="0" borderId="71" xfId="0" applyFont="1" applyFill="1" applyBorder="1" applyAlignment="1">
      <alignment horizontal="left" wrapText="1"/>
    </xf>
    <xf numFmtId="0" fontId="45" fillId="0" borderId="72" xfId="0" applyFont="1" applyFill="1" applyBorder="1" applyAlignment="1">
      <alignment horizontal="left" wrapText="1"/>
    </xf>
    <xf numFmtId="0" fontId="45" fillId="0" borderId="42" xfId="0" applyFont="1" applyFill="1" applyBorder="1" applyAlignment="1">
      <alignment horizontal="left" wrapText="1"/>
    </xf>
    <xf numFmtId="0" fontId="39" fillId="0" borderId="23" xfId="0" applyFont="1" applyFill="1" applyBorder="1" applyAlignment="1">
      <alignment horizontal="left" vertical="center" wrapText="1"/>
    </xf>
    <xf numFmtId="0" fontId="39" fillId="0" borderId="24" xfId="0" applyFont="1" applyFill="1" applyBorder="1" applyAlignment="1">
      <alignment horizontal="left" vertical="center" wrapText="1"/>
    </xf>
    <xf numFmtId="0" fontId="39" fillId="0" borderId="25" xfId="0" applyFont="1" applyFill="1" applyBorder="1" applyAlignment="1">
      <alignment horizontal="left" vertical="center" wrapText="1"/>
    </xf>
    <xf numFmtId="0" fontId="39" fillId="0" borderId="31" xfId="0" applyFont="1" applyFill="1" applyBorder="1" applyAlignment="1">
      <alignment horizontal="left" vertical="center" wrapText="1"/>
    </xf>
    <xf numFmtId="0" fontId="39" fillId="0" borderId="0" xfId="0" applyFont="1" applyAlignment="1">
      <alignment horizontal="left" vertical="center" wrapText="1"/>
    </xf>
    <xf numFmtId="0" fontId="39" fillId="0" borderId="32" xfId="0" applyFont="1" applyFill="1" applyBorder="1" applyAlignment="1">
      <alignment horizontal="left" vertical="center" wrapText="1"/>
    </xf>
    <xf numFmtId="0" fontId="39" fillId="0" borderId="71" xfId="0" applyFont="1" applyFill="1" applyBorder="1" applyAlignment="1">
      <alignment horizontal="left" vertical="center" wrapText="1"/>
    </xf>
    <xf numFmtId="0" fontId="39" fillId="0" borderId="72" xfId="0" applyFont="1" applyFill="1" applyBorder="1" applyAlignment="1">
      <alignment horizontal="left" vertical="center" wrapText="1"/>
    </xf>
    <xf numFmtId="0" fontId="39" fillId="0" borderId="42" xfId="0" applyFont="1" applyFill="1" applyBorder="1" applyAlignment="1">
      <alignment horizontal="left" vertical="center" wrapText="1"/>
    </xf>
    <xf numFmtId="0" fontId="46"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5" xfId="0" applyFont="1" applyFill="1" applyBorder="1" applyAlignment="1">
      <alignment horizontal="left" vertical="center" wrapText="1"/>
    </xf>
    <xf numFmtId="0" fontId="2" fillId="0" borderId="31" xfId="0" applyFont="1" applyFill="1" applyBorder="1" applyAlignment="1">
      <alignment horizontal="left" vertical="center" wrapText="1"/>
    </xf>
    <xf numFmtId="0" fontId="2" fillId="0" borderId="0" xfId="0" applyFont="1" applyAlignment="1">
      <alignment horizontal="left" vertical="center" wrapText="1"/>
    </xf>
    <xf numFmtId="0" fontId="2" fillId="0" borderId="32" xfId="0" applyFont="1" applyFill="1" applyBorder="1" applyAlignment="1">
      <alignment horizontal="left" vertical="center" wrapText="1"/>
    </xf>
    <xf numFmtId="0" fontId="2" fillId="0" borderId="71" xfId="0" applyFont="1" applyFill="1" applyBorder="1" applyAlignment="1">
      <alignment horizontal="left" vertical="center" wrapText="1"/>
    </xf>
    <xf numFmtId="0" fontId="2" fillId="0" borderId="72" xfId="0" applyFont="1" applyFill="1" applyBorder="1" applyAlignment="1">
      <alignment horizontal="left" vertical="center" wrapText="1"/>
    </xf>
    <xf numFmtId="0" fontId="2" fillId="0" borderId="42" xfId="0" applyFont="1" applyFill="1" applyBorder="1" applyAlignment="1">
      <alignment horizontal="left" vertical="center" wrapText="1"/>
    </xf>
    <xf numFmtId="0" fontId="39" fillId="0" borderId="18" xfId="0" applyFont="1" applyFill="1" applyBorder="1" applyAlignment="1">
      <alignment horizontal="left" vertical="center" wrapText="1"/>
    </xf>
    <xf numFmtId="172" fontId="2" fillId="0" borderId="26" xfId="2" applyNumberFormat="1" applyFont="1" applyFill="1" applyBorder="1" applyAlignment="1">
      <alignment horizontal="right"/>
    </xf>
    <xf numFmtId="172" fontId="2" fillId="0" borderId="9" xfId="2" applyNumberFormat="1" applyFont="1" applyFill="1" applyBorder="1" applyAlignment="1">
      <alignment horizontal="right"/>
    </xf>
    <xf numFmtId="0" fontId="2" fillId="0" borderId="52" xfId="0" applyFont="1" applyFill="1" applyBorder="1" applyAlignment="1">
      <alignment horizontal="left"/>
    </xf>
    <xf numFmtId="0" fontId="2" fillId="0" borderId="53" xfId="0" applyFont="1" applyFill="1" applyBorder="1" applyAlignment="1">
      <alignment horizontal="left"/>
    </xf>
    <xf numFmtId="0" fontId="2" fillId="0" borderId="54" xfId="0" applyFont="1" applyFill="1" applyBorder="1" applyAlignment="1">
      <alignment horizontal="left"/>
    </xf>
    <xf numFmtId="0" fontId="2" fillId="0" borderId="66" xfId="0" applyFont="1" applyFill="1" applyBorder="1" applyAlignment="1">
      <alignment horizontal="right"/>
    </xf>
    <xf numFmtId="0" fontId="2" fillId="0" borderId="60" xfId="0" applyFont="1" applyFill="1" applyBorder="1" applyAlignment="1">
      <alignment horizontal="right"/>
    </xf>
    <xf numFmtId="10" fontId="47" fillId="0" borderId="66" xfId="0" applyNumberFormat="1" applyFont="1" applyFill="1" applyBorder="1" applyAlignment="1">
      <alignment horizontal="center"/>
    </xf>
    <xf numFmtId="10" fontId="47" fillId="0" borderId="58" xfId="0" applyNumberFormat="1" applyFont="1" applyFill="1" applyBorder="1" applyAlignment="1">
      <alignment horizontal="center"/>
    </xf>
    <xf numFmtId="0" fontId="8" fillId="74" borderId="73" xfId="0" applyFont="1" applyFill="1" applyAlignment="1">
      <alignment horizontal="center" vertical="center" wrapText="1"/>
    </xf>
    <xf numFmtId="168" fontId="0" fillId="0" borderId="31" xfId="0" applyNumberFormat="1" applyFill="1" applyBorder="1" applyAlignment="1">
      <alignment horizontal="center" vertical="center" wrapText="1"/>
    </xf>
    <xf numFmtId="2" fontId="12" fillId="0" borderId="1" xfId="0" applyNumberFormat="1" applyFont="1" applyFill="1" applyBorder="1"/>
    <xf numFmtId="166" fontId="12" fillId="0" borderId="1" xfId="0" applyNumberFormat="1" applyFont="1" applyFill="1" applyBorder="1"/>
    <xf numFmtId="2" fontId="8" fillId="0" borderId="1" xfId="0" applyNumberFormat="1" applyFont="1" applyFill="1" applyBorder="1"/>
    <xf numFmtId="0" fontId="0" fillId="0" borderId="0" xfId="0" applyAlignment="1" quotePrefix="1">
      <alignment/>
    </xf>
  </cellXfs>
  <cellStyles count="4">
    <cellStyle name="Normal" xfId="0" builtinId="0" customBuiltin="1"/>
    <cellStyle name="Comma" xfId="1" builtinId="3" customBuiltin="1"/>
    <cellStyle name="Currency" xfId="2" builtinId="4" customBuiltin="1"/>
    <cellStyle name="Percent" xfId="3" builtinId="5" customBuiltin="1"/>
  </cellStyles>
  <dxfs count="1">
    <dxf>
      <border>
        <left style="none">
          <color rgb="FF000000"/>
        </left>
        <right style="none">
          <color rgb="FF000000"/>
        </right>
        <top style="none">
          <color rgb="FF000000"/>
        </top>
        <bottom style="none">
          <color rgb="FF000000"/>
        </bottom>
        <extLst>
          <ext uri="smNativeData">
            <pm:border xmlns:pm="smNativeData" id="1696577006">
              <pm:line position="top" type="0" style="0" width="20" dist="20" width2="20" rgb="000000"/>
              <pm:line position="bottom" type="0" style="0" width="20" dist="20" width2="20" rgb="000000"/>
              <pm:line position="left" type="0" style="0" width="20" dist="20" width2="20" rgb="000000"/>
              <pm:line position="right" type="0" style="0" width="20" dist="20" width2="20" rgb="000000"/>
            </pm:border>
          </ext>
        </extLst>
      </border>
    </dxf>
  </dxfs>
  <tableStyles count="0"/>
  <extLst>
    <ext uri="smNativeData">
      <pm:charStyles xmlns:pm="smNativeData" id="1696577006" count="1">
        <pm:charStyle name="Normal" fontId="0" Id="1"/>
      </pm:charStyles>
      <pm:colors xmlns:pm="smNativeData" id="1696577006" count="6">
        <pm:color name="Light Green" rgb="CCFFCC"/>
        <pm:color name="Color 25" rgb="FCF305"/>
        <pm:color name="Color 26" rgb="92D050"/>
        <pm:color name="Color 27" rgb="D8D8D8"/>
        <pm:color name="Color 28" rgb="EBF1DC"/>
        <pm:color name="Color 29" rgb="EBF1DE"/>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dr:twoCellAnchor editAs="oneCell">
    <xdr:from>
      <xdr:col>13</xdr:col>
      <xdr:colOff>60960</xdr:colOff>
      <xdr:row>0</xdr:row>
      <xdr:rowOff>73660</xdr:rowOff>
    </xdr:from>
    <xdr:to>
      <xdr:col>16</xdr:col>
      <xdr:colOff>238125</xdr:colOff>
      <xdr:row>3</xdr:row>
      <xdr:rowOff>97155</xdr:rowOff>
    </xdr:to>
    <xdr:sp macro="" fLocksText="0">
      <xdr:nvSpPr>
        <xdr:cNvPr id="5" name="TextBox 2"/>
        <xdr:cNvSpPr>
          <a:extLst>
            <a:ext uri="smNativeData">
              <pm:smNativeData xmlns:pm="smNativeData" val="SMDATA_13_7rUfZRMAAAAlAAAAZAAAAM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BcAAAAUAAAAAAAAAAAAAAD/fwAA/38AAAAAAAAJAAAABAAAAG9taWUeAAAAaAAAAAAAAAAAAAAAAAAAAAAAAAAAAAAAECcAABAnAAAAAAAAAAAAAAAAAAAAAAAAAAAAAAAAAAAAAAAAAAAAABQAAAAAAAAAwMD/AAAAAABkAAAAMgAAAAAAAABkAAAAAAAAAH9/fwAKAAAAIgAAABgAAAAAAAAAAAAAAAAAAAAAAAAAAAAAAAAAAAAkAAAAJAAAAAAAAAAHAAAAAAAAAAAAAAAAAAAAAAAAAAAAAAAAAAAAf39/ACUAAABYAAAAAAAAAAAAAAAAAAAAAAAAAAAAAAAAAAAAAAAAAAAAAAAAAAAAAAAAAAAAAAA/AAAAAAAAAKCGAQAAAAAAAAAAAAAAAAAMAAAAAQAAAAAAAAAAAAAAAAAAACEAAAAwAAAALAAAAAAAAAANAAAAcQFWAAMAAAAQAAAACgJzATxRAAB0AAAAoQ0AAL8DAAABAAAA"/>
            </a:ext>
          </a:extLst>
        </xdr:cNvSpPr>
      </xdr:nvSpPr>
      <xdr:spPr>
        <a:xfrm>
          <a:off x="13205460" y="73660"/>
          <a:ext cx="2215515" cy="608965"/>
        </a:xfrm>
        <a:prstGeom prst="rect">
          <a:avLst/>
        </a:prstGeom>
        <a:noFill/>
        <a:ln w="9525" cap="flat">
          <a:noFill/>
          <a:prstDash val="solid"/>
          <a:headEnd type="none" w="med" len="med"/>
          <a:tailEnd type="none" w="med" len="med"/>
        </a:ln>
        <a:effectLst/>
      </xdr:spPr>
      <xdr:txBody>
        <a:bodyPr spcFirstLastPara="1" vertOverflow="clip" horzOverflow="clip" wrap="square" lIns="91440" tIns="45720" rIns="91440" bIns="45720" anchor="t" upright="1"/>
        <a:lstStyle/>
        <a:p>
          <a:pPr algn="l" defTabSz="360045" rtl="0">
            <a:defRPr sz="1000"/>
          </a:pPr>
          <a:r>
            <a:rPr lang="en-us" sz="1100" b="0" i="0" u="none" strike="noStrike" kern="100" baseline="0">
              <a:solidFill>
                <a:srgbClr val="FF0000"/>
              </a:solidFill>
              <a:latin typeface="Calibri" pitchFamily="2" charset="0"/>
              <a:ea typeface="Basic Sans" pitchFamily="1" charset="0"/>
              <a:cs typeface="Basic Sans" pitchFamily="1" charset="0"/>
            </a:rPr>
            <a:t>Check these revenues against</a:t>
          </a:r>
        </a:p>
        <a:p>
          <a:pPr algn="l" defTabSz="360045" rtl="0">
            <a:defRPr sz="1000"/>
          </a:pPr>
          <a:r>
            <a:rPr lang="en-us" sz="1100" b="0" i="0" u="none" strike="noStrike" kern="100" baseline="0">
              <a:solidFill>
                <a:srgbClr val="FF0000"/>
              </a:solidFill>
              <a:latin typeface="Calibri" pitchFamily="2" charset="0"/>
              <a:ea typeface="Basic Sans" pitchFamily="1" charset="0"/>
              <a:cs typeface="Basic Sans" pitchFamily="1" charset="0"/>
            </a:rPr>
            <a:t>a. Overall market size</a:t>
          </a:r>
        </a:p>
        <a:p>
          <a:pPr algn="l" defTabSz="360045" rtl="0">
            <a:defRPr sz="1000"/>
          </a:pPr>
          <a:r>
            <a:rPr lang="en-us" sz="1100" b="0" i="0" u="none" strike="noStrike" kern="100" baseline="0">
              <a:solidFill>
                <a:srgbClr val="FF0000"/>
              </a:solidFill>
              <a:latin typeface="Calibri" pitchFamily="2" charset="0"/>
              <a:ea typeface="Basic Sans" pitchFamily="1" charset="0"/>
              <a:cs typeface="Basic Sans" pitchFamily="1" charset="0"/>
            </a:rPr>
            <a:t>b. Largest companies in this market</a:t>
          </a:r>
        </a:p>
      </xdr:txBody>
    </xdr:sp>
    <xdr:clientData/>
  </xdr:twoCellAnchor>
  <xdr:twoCellAnchor editAs="oneCell">
    <xdr:from>
      <xdr:col>11</xdr:col>
      <xdr:colOff>45720</xdr:colOff>
      <xdr:row>41</xdr:row>
      <xdr:rowOff>40640</xdr:rowOff>
    </xdr:from>
    <xdr:to>
      <xdr:col>17</xdr:col>
      <xdr:colOff>121920</xdr:colOff>
      <xdr:row>45</xdr:row>
      <xdr:rowOff>74295</xdr:rowOff>
    </xdr:to>
    <xdr:sp macro="" fLocksText="0">
      <xdr:nvSpPr>
        <xdr:cNvPr id="4" name="TextBox 3"/>
        <xdr:cNvSpPr>
          <a:extLst>
            <a:ext uri="smNativeData">
              <pm:smNativeData xmlns:pm="smNativeData" val="SMDATA_13_7rUfZRMAAAAlAAAAZAAAAM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BcAAAAUAAAAAAAAAAAAAAD/fwAA/38AAAAAAAAJAAAABAAAAAAAAAAeAAAAaAAAAAAAAAAAAAAAAAAAAAAAAAAAAAAAECcAABAnAAAAAAAAAAAAAAAAAAAAAAAAAAAAAAAAAAAAAAAAAAAAABQAAAAAAAAAwMD/AAAAAABkAAAAMgAAAAAAAABkAAAAAAAAAH9/fwAKAAAAIgAAABgAAAAAAAAAAAAAAAAAAAAAAAAAAAAAAAAAAAAkAAAAJAAAAAAAAAAHAAAAAAAAAAAAAAAAAAAAAAAAAAAAAAAAAAAAf39/ACUAAABYAAAAAAAAAAAAAAAAAAAAAAAAAAAAAAAAAAAAAAAAAAAAAAAAAAAAAAAAAAAAAAA/AAAAAAAAAKCGAQAAAAAAAAAAAAAAAAAMAAAAAQAAAAAAAAAAAAAAAAAAACEAAAAwAAAALAAAACkAAAALAAAA3wAzAC0AAAARAAAAmAG+ANBFAAB1MAAAYRwAAM0EAAABAAAA"/>
            </a:ext>
          </a:extLst>
        </xdr:cNvSpPr>
      </xdr:nvSpPr>
      <xdr:spPr>
        <a:xfrm>
          <a:off x="11348720" y="7877175"/>
          <a:ext cx="4613275" cy="780415"/>
        </a:xfrm>
        <a:prstGeom prst="rect">
          <a:avLst/>
        </a:prstGeom>
        <a:noFill/>
        <a:ln w="9525" cap="flat">
          <a:noFill/>
          <a:prstDash val="solid"/>
          <a:headEnd type="none" w="med" len="med"/>
          <a:tailEnd type="none" w="med" len="med"/>
        </a:ln>
        <a:effectLst/>
      </xdr:spPr>
      <xdr:txBody>
        <a:bodyPr spcFirstLastPara="1" vertOverflow="clip" horzOverflow="clip" wrap="square" lIns="91440" tIns="45720" rIns="91440" bIns="45720" anchor="t" upright="1"/>
        <a:lstStyle/>
        <a:p>
          <a:pPr algn="l" defTabSz="360045" rtl="0">
            <a:defRPr sz="1000"/>
          </a:pPr>
          <a:r>
            <a:rPr lang="en-us" sz="1100" b="0" i="0" u="none" strike="noStrike" kern="100" baseline="0">
              <a:solidFill>
                <a:srgbClr val="FF0000"/>
              </a:solidFill>
              <a:latin typeface="Calibri" pitchFamily="2" charset="0"/>
              <a:ea typeface="Basic Sans" pitchFamily="1" charset="0"/>
              <a:cs typeface="Basic Sans" pitchFamily="1" charset="0"/>
            </a:rPr>
            <a:t>Compare this return on capital in year 10 against</a:t>
          </a:r>
        </a:p>
        <a:p>
          <a:pPr algn="l" defTabSz="360045" rtl="0">
            <a:defRPr sz="1000"/>
          </a:pPr>
          <a:r>
            <a:rPr lang="en-us" sz="1100" b="0" i="0" u="none" strike="noStrike" kern="100" baseline="0">
              <a:solidFill>
                <a:srgbClr val="FF0000"/>
              </a:solidFill>
              <a:latin typeface="Calibri" pitchFamily="2" charset="0"/>
              <a:ea typeface="Basic Sans" pitchFamily="1" charset="0"/>
              <a:cs typeface="Basic Sans" pitchFamily="1" charset="0"/>
            </a:rPr>
            <a:t>a.  the industry average(column E of worksheet)</a:t>
          </a:r>
        </a:p>
        <a:p>
          <a:pPr algn="l" defTabSz="360045" rtl="0">
            <a:defRPr sz="1000"/>
          </a:pPr>
          <a:r>
            <a:rPr lang="en-us" sz="1100" b="0" i="0" u="none" strike="noStrike" kern="100" baseline="0">
              <a:solidFill>
                <a:srgbClr val="FF0000"/>
              </a:solidFill>
              <a:latin typeface="Calibri" pitchFamily="2" charset="0"/>
              <a:ea typeface="Basic Sans" pitchFamily="1" charset="0"/>
              <a:cs typeface="Basic Sans" pitchFamily="1" charset="0"/>
            </a:rPr>
            <a:t>b. the return on capital after year 10</a:t>
          </a:r>
        </a:p>
        <a:p>
          <a:pPr algn="l" defTabSz="360045" rtl="0">
            <a:defRPr sz="1000"/>
          </a:pPr>
          <a:r>
            <a:rPr lang="en-us" sz="1100" b="0" i="0" u="none" strike="noStrike" kern="100" baseline="0">
              <a:solidFill>
                <a:srgbClr val="FF0000"/>
              </a:solidFill>
              <a:latin typeface="Calibri" pitchFamily="2" charset="0"/>
              <a:ea typeface="Basic Sans" pitchFamily="1" charset="0"/>
              <a:cs typeface="Basic Sans" pitchFamily="1" charset="0"/>
            </a:rPr>
            <a:t>If it is too high (low), you may want to lower  (raise) your sales to capital ratio</a:t>
          </a:r>
        </a:p>
      </xdr:txBody>
    </xdr:sp>
    <xdr:clientData/>
  </xdr:twoCellAnchor>
  <xdr:twoCellAnchor editAs="oneCell">
    <xdr:from>
      <xdr:col>14</xdr:col>
      <xdr:colOff>30480</xdr:colOff>
      <xdr:row>6</xdr:row>
      <xdr:rowOff>144780</xdr:rowOff>
    </xdr:from>
    <xdr:to>
      <xdr:col>17</xdr:col>
      <xdr:colOff>192405</xdr:colOff>
      <xdr:row>9</xdr:row>
      <xdr:rowOff>10160</xdr:rowOff>
    </xdr:to>
    <xdr:sp macro="" fLocksText="0">
      <xdr:nvSpPr>
        <xdr:cNvPr id="3" name="TextBox 1"/>
        <xdr:cNvSpPr>
          <a:extLst>
            <a:ext uri="smNativeData">
              <pm:smNativeData xmlns:pm="smNativeData" val="SMDATA_13_7rUfZRMAAAAlAAAAZAAAAM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BcAAAAUAAAAAAAAAAAAAAD/fwAA/38AAAAAAAAJAAAABAAAAAAAAAAeAAAAaAAAAAAAAAAAAAAAAAAAAAAAAAAAAAAAECcAABAnAAAAAAAAAAAAAAAAAAAAAAAAAAAAAAAAAAAAAAAAAAAAABQAAAAAAAAAwMD/AAAAAABkAAAAMgAAAAAAAABkAAAAAAAAAH9/fwAKAAAAIgAAABgAAAAAAAAAAAAAAAAAAAAAAAAAAAAAAAAAAAAkAAAAJAAAAAAAAAAHAAAAAAAAAAAAAAAAAAAAAAAAAAAAAAAAAAAAf39/ACUAAABYAAAAAAAAAAAAAAAAAAAAAAAAAAAAAAAAAAAAAAAAAAAAAAAAAAAAAAAAAAAAAAA/AAAAAAAAAKCGAQAAAAAAAAAAAAAAAAAMAAAAAQAAAAAAAAAAAAAAAAAAACEAAAAwAAAALAAAAAYAAAAOAAAACgMvAAkAAAARAAAANwAsAYBVAAACCAAAIA0AALACAAABAAAA"/>
            </a:ext>
          </a:extLst>
        </xdr:cNvSpPr>
      </xdr:nvSpPr>
      <xdr:spPr>
        <a:xfrm>
          <a:off x="13898880" y="1301750"/>
          <a:ext cx="2133600" cy="436880"/>
        </a:xfrm>
        <a:prstGeom prst="rect">
          <a:avLst/>
        </a:prstGeom>
        <a:noFill/>
        <a:ln w="9525" cap="flat">
          <a:noFill/>
          <a:prstDash val="solid"/>
          <a:headEnd type="none" w="med" len="med"/>
          <a:tailEnd type="none" w="med" len="med"/>
        </a:ln>
        <a:effectLst/>
      </xdr:spPr>
      <xdr:txBody>
        <a:bodyPr spcFirstLastPara="1" vertOverflow="clip" horzOverflow="clip" wrap="square" lIns="91440" tIns="45720" rIns="91440" bIns="45720" anchor="t" upright="1"/>
        <a:lstStyle/>
        <a:p>
          <a:pPr algn="l" defTabSz="360045" rtl="0">
            <a:defRPr sz="1000"/>
          </a:pPr>
          <a:r>
            <a:rPr lang="en-us" sz="1100" b="0" i="0" u="none" strike="noStrike" kern="100" baseline="0">
              <a:solidFill>
                <a:srgbClr val="FF0000"/>
              </a:solidFill>
              <a:latin typeface="Calibri" pitchFamily="2" charset="0"/>
              <a:ea typeface="Basic Sans" pitchFamily="1" charset="0"/>
              <a:cs typeface="Basic Sans" pitchFamily="1" charset="0"/>
            </a:rPr>
            <a:t>This is how much capital you invested over the ten year period. </a:t>
          </a:r>
        </a:p>
      </xdr:txBody>
    </xdr:sp>
    <xdr:clientData/>
  </xdr:twoCellAnchor>
  <xdr:twoCellAnchor editAs="oneCell">
    <xdr:from>
      <xdr:col>14</xdr:col>
      <xdr:colOff>10160</xdr:colOff>
      <xdr:row>3</xdr:row>
      <xdr:rowOff>144780</xdr:rowOff>
    </xdr:from>
    <xdr:to>
      <xdr:col>18</xdr:col>
      <xdr:colOff>276860</xdr:colOff>
      <xdr:row>6</xdr:row>
      <xdr:rowOff>10160</xdr:rowOff>
    </xdr:to>
    <xdr:sp macro="" fLocksText="0">
      <xdr:nvSpPr>
        <xdr:cNvPr id="2" name="TextBox 4"/>
        <xdr:cNvSpPr>
          <a:extLst>
            <a:ext uri="smNativeData">
              <pm:smNativeData xmlns:pm="smNativeData" val="SMDATA_13_7rUfZRMAAAAlAAAAZAAAAM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BcAAAAUAAAAAAAAAAAAAAD/fwAA/38AAAAAAAAJAAAABAAAAAAAAAAeAAAAaAAAAAAAAAAAAAAAAAAAAAAAAAAAAAAAECcAABAnAAAAAAAAAAAAAAAAAAAAAAAAAAAAAAAAAAAAAAAAAAAAABQAAAAAAAAAwMD/AAAAAABkAAAAMgAAAAAAAABkAAAAAAAAAH9/fwAKAAAAIgAAABgAAAAAAAAAAAAAAAAAAAAAAAAAAAAAAAAAAAAkAAAAJAAAAAAAAAAHAAAAAAAAAAAAAAAAAAAAAAAAAAAAAAAAAAAAf39/ACUAAABYAAAAAAAAAAAAAAAAAAAAAAAAAAAAAAAAAAAAAAAAAAAAAAAAAAAAAAAAAAAAAAA/AAAAAAAAAKCGAQAAAAAAAAAAAAAAAAAMAAAAAQAAAAAAAAAAAAAAAAAAACEAAAAwAAAALAAAAAMAAAAOAAAACgMQAAYAAAASAAAANwCvAWBVAAB+BAAA0BEAALACAAABAAAA"/>
            </a:ext>
          </a:extLst>
        </xdr:cNvSpPr>
      </xdr:nvSpPr>
      <xdr:spPr>
        <a:xfrm>
          <a:off x="13878560" y="730250"/>
          <a:ext cx="2895600" cy="436880"/>
        </a:xfrm>
        <a:prstGeom prst="rect">
          <a:avLst/>
        </a:prstGeom>
        <a:noFill/>
        <a:ln w="9525" cap="flat">
          <a:noFill/>
          <a:prstDash val="solid"/>
          <a:headEnd type="none" w="med" len="med"/>
          <a:tailEnd type="none" w="med" len="med"/>
        </a:ln>
        <a:effectLst/>
      </xdr:spPr>
      <xdr:txBody>
        <a:bodyPr spcFirstLastPara="1" vertOverflow="clip" horzOverflow="clip" wrap="square" lIns="91440" tIns="45720" rIns="91440" bIns="45720" anchor="t" upright="1"/>
        <a:lstStyle/>
        <a:p>
          <a:pPr algn="l" defTabSz="360045" rtl="0">
            <a:defRPr sz="1000"/>
          </a:pPr>
          <a:r>
            <a:rPr lang="en-us" sz="1100" b="0" i="0" u="none" strike="noStrike" kern="100" baseline="0">
              <a:solidFill>
                <a:srgbClr val="FF0000"/>
              </a:solidFill>
              <a:latin typeface="Calibri" pitchFamily="2" charset="0"/>
              <a:ea typeface="Basic Sans" pitchFamily="1" charset="0"/>
              <a:cs typeface="Basic Sans" pitchFamily="1" charset="0"/>
            </a:rPr>
            <a:t>This is is how much your operating income grew over the ten-year period.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2999105</xdr:colOff>
      <xdr:row>9</xdr:row>
      <xdr:rowOff>88900</xdr:rowOff>
    </xdr:from>
    <xdr:to>
      <xdr:col>3</xdr:col>
      <xdr:colOff>1161415</xdr:colOff>
      <xdr:row>9</xdr:row>
      <xdr:rowOff>88900</xdr:rowOff>
    </xdr:to>
    <xdr:cxnSp macro="">
      <xdr:nvCxnSpPr>
        <xdr:cNvPr id="5" name="Straight Arrow Connector 4" descr="a34003ff-f833-4472-933c-eefd440044a9"/>
        <xdr:cNvCxnSpPr>
          <a:extLst>
            <a:ext uri="smNativeData">
              <pm:smNativeData xmlns:pm="smNativeData" val="SMDATA_13_7rUfZRMAAAAlAAAADQAAAI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BAAAAAAAAAE+BvQAoAAAAAQAAACMAAAAjAAAAIwAAAB4AAAAAAAAAZAAAAGQAAAACAAAAZAAAAGQAAAAVAAAAYAAAAAAAAAAAAAAADwAAACADAAAAAAAAAAAAAAEAAACgMgAAVgcAAKr4//8BAAAAf39/AAEAAABkAAAAAAAAABQAAABAHwAAAAAAACYAAAAAAAAAwOD//wAAAAAmAAAAZAAAABYAAABMAAAAAQAAAAAAAAAAAAAAAAAAAAEAAACAgIAAPwAAAAAAAAAfAAAAZAAAAGQAAAAAAAAAy8vLAD8AAAAAAAAAHwAAAGQAAABkAAAAAAAAABcAAAAUAAAAAAAAAAAAAAD/fwAA/38AAAAAAAAJAAAABAAAACCa2y8eAAAAaAAAAAAAAAAAAAAAAAAAAAAAAAAAAAAAECcAABAnAAAAAAAAAAAAAAAAAAAAAAAAAAAAAAAAAAAAAAAAAAAAAD8AAAAAAAAAwMD/AAAAAABkAAAAMgAAAAAAAABkAAAAAAAAAH9/fwAKAAAAIgAAABgAAAAAAAAAAAAAAAAAAAAAAAAAAAAAAAAAAAAkAAAAJAAAAAAAAAAHAAAAAAAAAAAAAAAAAAAAAAAAAAAAAAAAAAAAf39/ACUAAABYAAAAAAAAAAAAAAAAAAAAAAAAAAAAAAAAAAAAAAAAAAAAAAAAAAAAAAAAAAAAAAA/AAAAAAAAAKCGAQAAAAAAAAAAAAAAAAAMAAAAAQAAAAAAAAAAAAAAAAAAACEAAAAwAAAALAAAAAkAAAACAAAA1gAtBAkAAAADAAAA1gCeAQQ1AAATDQAAJQcAAAAAAAAAAAAA"/>
            </a:ext>
          </a:extLst>
        </xdr:cNvCxnSpPr>
      </xdr:nvCxnSpPr>
      <xdr:spPr>
        <a:xfrm>
          <a:off x="8618220" y="2125345"/>
          <a:ext cx="1161415" cy="0"/>
        </a:xfrm>
        <a:prstGeom prst="straightConnector1">
          <a:avLst/>
        </a:prstGeom>
        <a:noFill/>
        <a:ln w="25400" cap="flat">
          <a:solidFill>
            <a:srgbClr val="4F81BD"/>
          </a:solidFill>
          <a:prstDash val="solid"/>
          <a:headEnd type="none" w="med" len="med"/>
          <a:tailEnd type="triangle" w="med" len="med"/>
        </a:ln>
        <a:effectLst>
          <a:outerShdw blurRad="40005" dist="19685" dir="5400000" algn="tl">
            <a:srgbClr val="808080">
              <a:alpha val="37000"/>
            </a:srgbClr>
          </a:outerShdw>
        </a:effectLst>
      </xdr:spPr>
    </xdr:cxnSp>
    <xdr:clientData/>
  </xdr:twoCellAnchor>
  <xdr:twoCellAnchor>
    <xdr:from>
      <xdr:col>2</xdr:col>
      <xdr:colOff>3035300</xdr:colOff>
      <xdr:row>10</xdr:row>
      <xdr:rowOff>101600</xdr:rowOff>
    </xdr:from>
    <xdr:to>
      <xdr:col>3</xdr:col>
      <xdr:colOff>1161415</xdr:colOff>
      <xdr:row>10</xdr:row>
      <xdr:rowOff>101600</xdr:rowOff>
    </xdr:to>
    <xdr:cxnSp macro="">
      <xdr:nvCxnSpPr>
        <xdr:cNvPr id="4" name="Straight Arrow Connector 6" descr="a70bb248-258f-478f-a70e-43d3d6e65666"/>
        <xdr:cNvCxnSpPr>
          <a:extLst>
            <a:ext uri="smNativeData">
              <pm:smNativeData xmlns:pm="smNativeData" val="SMDATA_13_7rUfZRMAAAAlAAAADQAAAI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BAAAAAAAAAE+BvQAoAAAAAQAAACMAAAAjAAAAIwAAAB4AAAAAAAAAZAAAAGQAAAACAAAAZAAAAGQAAAAVAAAAYAAAAAAAAAAAAAAADwAAACADAAAAAAAAAAAAAAEAAACgMgAAVgcAAKr4//8BAAAAf39/AAEAAABkAAAAAAAAABQAAABAHwAAAAAAACYAAAAAAAAAwOD//wAAAAAmAAAAZAAAABYAAABMAAAAAQAAAAAAAAAAAAAAAAAAAAEAAACAgIAAPwAAAAAAAAAfAAAAZAAAAGQAAAAAAAAAy8vLAD8AAAAAAAAAHwAAAGQAAABkAAAAAAAAABcAAAAUAAAAAAAAAAAAAAD/fwAA/38AAAAAAAAJAAAABAAAALTmkaMeAAAAaAAAAAAAAAAAAAAAAAAAAAAAAAAAAAAAECcAABAnAAAAAAAAAAAAAAAAAAAAAAAAAAAAAAAAAAAAAAAAAAAAAD8AAAAAAAAAwMD/AAAAAABkAAAAMgAAAAAAAABkAAAAAAAAAH9/fwAKAAAAIgAAABgAAAAAAAAAAAAAAAAAAAAAAAAAAAAAAAAAAAAkAAAAJAAAAAAAAAAHAAAAAAAAAAAAAAAAAAAAAAAAAAAAAAAAAAAAf39/ACUAAABYAAAAAAAAAAAAAAAAAAAAAAAAAAAAAAAAAAAAAAAAAAAAAAAAAAAAAAAAAAAAAAA/AAAAAAAAAKCGAQAAAAAAAAAAAAAAAAAMAAAAAQAAAAAAAAAAAAAAAAAAACEAAAAwAAAALAAAAAoAAAACAAAA5QE6BAoAAAADAAAA5QGeAQQ1AADGDwAAJQcAAAAAAAAAAAAA"/>
            </a:ext>
          </a:extLst>
        </xdr:cNvCxnSpPr>
      </xdr:nvCxnSpPr>
      <xdr:spPr>
        <a:xfrm>
          <a:off x="8618220" y="2564130"/>
          <a:ext cx="1161415" cy="0"/>
        </a:xfrm>
        <a:prstGeom prst="straightConnector1">
          <a:avLst/>
        </a:prstGeom>
        <a:noFill/>
        <a:ln w="25400" cap="flat">
          <a:solidFill>
            <a:srgbClr val="4F81BD"/>
          </a:solidFill>
          <a:prstDash val="solid"/>
          <a:headEnd type="none" w="med" len="med"/>
          <a:tailEnd type="triangle" w="med" len="med"/>
        </a:ln>
        <a:effectLst>
          <a:outerShdw blurRad="40005" dist="19685" dir="5400000" algn="tl">
            <a:srgbClr val="808080">
              <a:alpha val="37000"/>
            </a:srgbClr>
          </a:outerShdw>
        </a:effectLst>
      </xdr:spPr>
    </xdr:cxnSp>
    <xdr:clientData/>
  </xdr:twoCellAnchor>
  <xdr:twoCellAnchor>
    <xdr:from>
      <xdr:col>2</xdr:col>
      <xdr:colOff>3035300</xdr:colOff>
      <xdr:row>13</xdr:row>
      <xdr:rowOff>76200</xdr:rowOff>
    </xdr:from>
    <xdr:to>
      <xdr:col>3</xdr:col>
      <xdr:colOff>1161415</xdr:colOff>
      <xdr:row>13</xdr:row>
      <xdr:rowOff>76200</xdr:rowOff>
    </xdr:to>
    <xdr:cxnSp macro="">
      <xdr:nvCxnSpPr>
        <xdr:cNvPr id="3" name="Straight Arrow Connector 10" descr="34d557a7-21e2-461f-8a90-af3e273b2327"/>
        <xdr:cNvCxnSpPr>
          <a:extLst>
            <a:ext uri="smNativeData">
              <pm:smNativeData xmlns:pm="smNativeData" val="SMDATA_13_7rUfZRMAAAAlAAAADQAAAI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BAAAAAAAAAE+BvQAoAAAAAQAAACMAAAAjAAAAIwAAAB4AAAAAAAAAZAAAAGQAAAACAAAAZAAAAGQAAAAVAAAAYAAAAAAAAAAAAAAADwAAACADAAAAAAAAAAAAAAEAAACgMgAAVgcAAKr4//8BAAAAf39/AAEAAABkAAAAAAAAABQAAABAHwAAAAAAACYAAAAAAAAAwOD//wAAAAAmAAAAZAAAABYAAABMAAAAAQAAAAAAAAAAAAAAAAAAAAEAAACAgIAAPwAAAAAAAAAfAAAAZAAAAGQAAAAAAAAAy8vLAD8AAAAAAAAAHwAAAGQAAABkAAAAAAAAABcAAAAUAAAAAAAAAAAAAAD/fwAA/38AAAAAAAAJAAAABAAAAOOloeMeAAAAaAAAAAAAAAAAAAAAAAAAAAAAAAAAAAAAECcAABAnAAAAAAAAAAAAAAAAAAAAAAAAAAAAAAAAAAAAAAAAAAAAAD8AAAAAAAAAwMD/AAAAAABkAAAAMgAAAAAAAABkAAAAAAAAAH9/fwAKAAAAIgAAABgAAAAAAAAAAAAAAAAAAAAAAAAAAAAAAAAAAAAkAAAAJAAAAAAAAAAHAAAAAAAAAAAAAAAAAAAAAAAAAAAAAAAAAAAAf39/ACUAAABYAAAAAAAAAAAAAAAAAAAAAAAAAAAAAAAAAAAAAAAAAAAAAAAAAAAAAAAAAAAAAAA/AAAAAAAAAKCGAQAAAAAAAAAAAAAAAAAMAAAAAQAAAAAAAAAAAAAAAAAAACEAAAAwAAAALAAAAA0AAAACAAAAZgE6BA0AAAADAAAAZgGeAQQ1AADhFAAAJQcAAAAAAAAAAAAA"/>
            </a:ext>
          </a:extLst>
        </xdr:cNvCxnSpPr>
      </xdr:nvCxnSpPr>
      <xdr:spPr>
        <a:xfrm>
          <a:off x="8618220" y="3394075"/>
          <a:ext cx="1161415" cy="0"/>
        </a:xfrm>
        <a:prstGeom prst="straightConnector1">
          <a:avLst/>
        </a:prstGeom>
        <a:noFill/>
        <a:ln w="25400" cap="flat">
          <a:solidFill>
            <a:srgbClr val="4F81BD"/>
          </a:solidFill>
          <a:prstDash val="solid"/>
          <a:headEnd type="none" w="med" len="med"/>
          <a:tailEnd type="triangle" w="med" len="med"/>
        </a:ln>
        <a:effectLst>
          <a:outerShdw blurRad="40005" dist="19685" dir="5400000" algn="tl">
            <a:srgbClr val="808080">
              <a:alpha val="37000"/>
            </a:srgbClr>
          </a:outerShdw>
        </a:effectLst>
      </xdr:spPr>
    </xdr:cxnSp>
    <xdr:clientData/>
  </xdr:twoCellAnchor>
  <xdr:twoCellAnchor>
    <xdr:from>
      <xdr:col>2</xdr:col>
      <xdr:colOff>2819400</xdr:colOff>
      <xdr:row>8</xdr:row>
      <xdr:rowOff>101600</xdr:rowOff>
    </xdr:from>
    <xdr:to>
      <xdr:col>3</xdr:col>
      <xdr:colOff>967740</xdr:colOff>
      <xdr:row>8</xdr:row>
      <xdr:rowOff>101600</xdr:rowOff>
    </xdr:to>
    <xdr:cxnSp macro="">
      <xdr:nvCxnSpPr>
        <xdr:cNvPr id="2" name="Straight Arrow Connector 4" descr="dbc7c463-c220-499e-b809-fbe50f8013a0"/>
        <xdr:cNvCxnSpPr>
          <a:extLst>
            <a:ext uri="smNativeData">
              <pm:smNativeData xmlns:pm="smNativeData" val="SMDATA_13_7rUfZRMAAAAlAAAADQAAAI0AAAAAkAAAAEgAAACQAAAASAAAAAAAAAAAAAAAAAAAAAEAAABQAAAAAAAAAAAA4D8AAAAAAADgPwAAAAAAAOA/AAAAAAAA4D8AAAAAAADgPwAAAAAAAOA/AAAAAAAA4D8AAAAAAADgPwAAAAAAAOA/AAAAAAAA4D8CAAAAjAAAAAAAAAAAAAAA////AAAAAAAAAAAAAAAAAAAAAAAAAAAAAAAAAAAAAAAAAAAAZAAAAAEAAABAAAAAAAAAAAAAAAAAAAAAAAAAAAAAAAAAAAAAAAAAAAAAAAAAAAAAAAAAAAAAAAAAAAAAAAAAAAAAAAAAAAAAAAAAAAAAAAAAAAAAAAAAAAAAAAAAAAAAFAAAADwAAAABAAAAAAAAAE+BvQAoAAAAAQAAACMAAAAjAAAAIwAAAB4AAAAAAAAAZAAAAGQAAAACAAAAZAAAAGQAAAAVAAAAYAAAAAAAAAAAAAAADwAAACADAAAAAAAAAAAAAAEAAACgMgAAVgcAAKr4//8BAAAAf39/AAEAAABkAAAAAAAAABQAAABAHwAAAAAAACYAAAAAAAAAwOD//wAAAAAmAAAAZAAAABYAAABMAAAAAQAAAAAAAAAAAAAAAAAAAAEAAACAgIAAPwAAAAAAAAAfAAAAZAAAAGQAAAAAAAAAy8vLAD8AAAAAAAAAHwAAAGQAAABkAAAAAAAAABcAAAAUAAAAAAAAAAAAAAD/fwAA/38AAAAAAAAJAAAABAAAAIi25ogeAAAAaAAAAAAAAAAAAAAAAAAAAAAAAAAAAAAAECcAABAnAAAAAAAAAAAAAAAAAAAAAAAAAAAAAAAAAAAAAAAAAAAAAD8AAAAAAAAAwMD/AAAAAABkAAAAMgAAAAAAAABkAAAAAAAAAH9/fwAKAAAAIgAAABgAAAAAAAAAAAAAAAAAAAAAAAAAAAAAAAAAAAAkAAAAJAAAAAAAAAAHAAAAAAAAAAAAAAAAAAAAAAAAAAAAAAAAAAAAf39/ACUAAABYAAAAAAAAAAAAAAAAAAAAAAAAAAAAAAAAAAAAAAAAAAAAAAAAAAAAAAAAAAAAAAA/AAAAAAAAAKCGAQAAAAAAAAAAAAAAAAAMAAAAAQAAAAAAAAAAAAAAAAAAACEAAAAwAAAALAAAAAgAAAACAAAA5QHtAwgAAAADAAAA5QFZAbA0AADVCwAASAYAAAAAAAAAAAAA"/>
            </a:ext>
          </a:extLst>
        </xdr:cNvCxnSpPr>
      </xdr:nvCxnSpPr>
      <xdr:spPr>
        <a:xfrm>
          <a:off x="8564880" y="1923415"/>
          <a:ext cx="1021080" cy="0"/>
        </a:xfrm>
        <a:prstGeom prst="straightConnector1">
          <a:avLst/>
        </a:prstGeom>
        <a:noFill/>
        <a:ln w="25400" cap="flat">
          <a:solidFill>
            <a:srgbClr val="4F81BD"/>
          </a:solidFill>
          <a:prstDash val="solid"/>
          <a:headEnd type="none" w="med" len="med"/>
          <a:tailEnd type="triangle" w="med" len="med"/>
        </a:ln>
        <a:effectLst>
          <a:outerShdw blurRad="40005" dist="19685" dir="5400000" algn="tl">
            <a:srgbClr val="808080">
              <a:alpha val="37000"/>
            </a:srgbClr>
          </a:outerShdw>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Geneva"/>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3.xml.rels><?xml version="1.0" encoding="UTF-8" standalone="yes" ?>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_rels/sheet10.xml.rels><?xml version="1.0" encoding="UTF-8" standalone="yes" ?>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_rels/sheet11.xml.rels><?xml version="1.0" encoding="UTF-8" standalone="yes" ?>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C31"/>
  <sheetViews>
    <sheetView view="normal" workbookViewId="0">
      <selection activeCell="A1" sqref="A1"/>
    </sheetView>
  </sheetViews>
  <sheetFormatPr defaultRowHeight="11.50"/>
  <cols>
    <col min="1" max="3" width="36.666667" customWidth="1"/>
  </cols>
  <sheetData>
    <row r="1" spans="1:1">
      <c r="A1" s="345" t="s">
        <v>0</v>
      </c>
    </row>
    <row r="3" spans="1:3">
      <c r="A3" t="s">
        <v>1</v>
      </c>
      <c r="B3" t="s">
        <v>2</v>
      </c>
      <c r="C3" t="n">
        <v>0</v>
      </c>
    </row>
    <row r="4" spans="1:1">
      <c r="A4" t="s">
        <v>3</v>
      </c>
    </row>
    <row r="5" spans="1:1">
      <c r="A5" t="s">
        <v>4</v>
      </c>
    </row>
    <row r="7" spans="1:2">
      <c r="A7" s="345" t="s">
        <v>5</v>
      </c>
      <c r="B7" t="s">
        <v>6</v>
      </c>
    </row>
    <row r="8" spans="2:2">
      <c r="B8" t="n">
        <v>3</v>
      </c>
    </row>
    <row r="10" spans="1:1">
      <c r="A10" t="s">
        <v>7</v>
      </c>
    </row>
    <row r="11" spans="1:3">
      <c r="A11" t="e">
        <f>#REF!</f>
        <v>#REF!</v>
      </c>
      <c r="B11" t="e">
        <f>#REF!</f>
        <v>#REF!</v>
      </c>
      <c r="C11" t="e">
        <f>#REF!</f>
        <v>#REF!</v>
      </c>
    </row>
    <row r="13" spans="1:1">
      <c r="A13" t="s">
        <v>8</v>
      </c>
    </row>
    <row r="14" spans="1:3">
      <c r="A14" t="s">
        <v>9</v>
      </c>
      <c r="B14" t="s">
        <v>10</v>
      </c>
      <c r="C14" t="s">
        <v>11</v>
      </c>
    </row>
    <row r="16" spans="1:1">
      <c r="A16" t="s">
        <v>12</v>
      </c>
    </row>
    <row r="19" spans="1:1">
      <c r="A19" t="s">
        <v>13</v>
      </c>
    </row>
    <row r="20" spans="1:3">
      <c r="A20" t="n">
        <v>28</v>
      </c>
      <c r="B20" t="n">
        <v>31</v>
      </c>
      <c r="C20" t="n">
        <v>31</v>
      </c>
    </row>
    <row r="25" spans="1:1">
      <c r="A25" s="345" t="s">
        <v>14</v>
      </c>
    </row>
    <row r="26" spans="1:3">
      <c r="A26" s="418" t="s">
        <v>15</v>
      </c>
      <c r="B26" s="418" t="s">
        <v>16</v>
      </c>
      <c r="C26" s="418" t="s">
        <v>16</v>
      </c>
    </row>
    <row r="27" spans="1:3">
      <c r="A27" t="s">
        <v>17</v>
      </c>
      <c r="B27" t="s">
        <v>18</v>
      </c>
      <c r="C27" t="s">
        <v>19</v>
      </c>
    </row>
    <row r="28" spans="1:3">
      <c r="A28" s="418" t="s">
        <v>20</v>
      </c>
      <c r="B28" s="418" t="s">
        <v>20</v>
      </c>
      <c r="C28" s="418" t="s">
        <v>20</v>
      </c>
    </row>
    <row r="29" spans="2:3">
      <c r="B29" s="418" t="s">
        <v>15</v>
      </c>
      <c r="C29" s="418" t="s">
        <v>15</v>
      </c>
    </row>
    <row r="30" spans="2:3">
      <c r="B30" t="s">
        <v>21</v>
      </c>
      <c r="C30" t="s">
        <v>22</v>
      </c>
    </row>
    <row r="31" spans="2:3">
      <c r="B31" s="418" t="s">
        <v>20</v>
      </c>
      <c r="C31" s="418" t="s">
        <v>20</v>
      </c>
    </row>
  </sheetData>
  <printOptions>
    <extLst>
      <ext uri="smNativeData">
        <pm:pageFlags xmlns:pm="smNativeData" id="1696577006"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696577006" l="56" r="56" t="56" b="56" borderId="0" fillId="0" vertical="0"/>
        <pm:footer xmlns:pm="smNativeData" id="1696577006" l="56" r="56" t="56" b="56" borderId="0" fillId="0" vertical="2"/>
      </ext>
    </extLst>
  </headerFooter>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N61"/>
  <sheetViews>
    <sheetView view="normal" zoomScale="125" workbookViewId="0">
      <selection activeCell="D52" sqref="D52"/>
    </sheetView>
  </sheetViews>
  <sheetFormatPr baseColWidth="10" defaultColWidth="10.833333" defaultRowHeight="11.50"/>
  <cols>
    <col min="1" max="1" width="49.666667" customWidth="1" style="7"/>
    <col min="2" max="2" width="26.500000" customWidth="1" style="7"/>
    <col min="3" max="3" width="17.000000" customWidth="1" style="7"/>
    <col min="4" max="4" width="16.666667" customWidth="1" style="7"/>
    <col min="5" max="7" width="10.833333" style="7"/>
    <col min="8" max="8" width="11.000000" customWidth="1" style="7"/>
    <col min="9" max="9" width="13.500000" customWidth="1" style="7"/>
    <col min="10" max="10" width="15.000000" customWidth="1" style="7"/>
    <col min="11" max="11" width="17.500000" customWidth="1" style="7"/>
    <col min="12" max="16384" width="10.833333" style="7"/>
  </cols>
  <sheetData>
    <row r="1" spans="1:10">
      <c r="A1" s="182" t="s">
        <v>23</v>
      </c>
      <c r="B1" s="201" t="n">
        <v>41882</v>
      </c>
      <c r="C1" s="146" t="s">
        <v>24</v>
      </c>
      <c r="D1" s="147"/>
      <c r="E1" s="147"/>
      <c r="F1" s="147"/>
      <c r="G1" s="147"/>
      <c r="H1" s="147"/>
      <c r="I1" s="147"/>
      <c r="J1" s="148"/>
    </row>
    <row r="2" spans="1:10" s="54" customFormat="1" ht="12.60">
      <c r="A2" s="51" t="s">
        <v>25</v>
      </c>
      <c r="B2" s="202" t="s">
        <v>26</v>
      </c>
      <c r="C2" s="183" t="s">
        <v>27</v>
      </c>
      <c r="J2" s="184"/>
    </row>
    <row r="3" spans="1:10" s="54" customFormat="1" ht="12.60">
      <c r="A3" s="349" t="s">
        <v>28</v>
      </c>
      <c r="B3" s="350"/>
      <c r="C3" s="351"/>
      <c r="D3" s="351"/>
      <c r="E3" s="351"/>
      <c r="F3" s="351"/>
      <c r="G3" s="351"/>
      <c r="H3" s="351"/>
      <c r="I3" s="351"/>
      <c r="J3" s="352"/>
    </row>
    <row r="4" spans="1:9" s="54" customFormat="1" ht="12.60">
      <c r="A4" s="51"/>
      <c r="B4" s="51" t="s">
        <v>29</v>
      </c>
      <c r="C4" s="51" t="s">
        <v>30</v>
      </c>
    </row>
    <row r="5" spans="1:9" s="54" customFormat="1" ht="12.60">
      <c r="A5" s="54" t="s">
        <v>31</v>
      </c>
      <c r="B5" s="136" t="s">
        <v>32</v>
      </c>
      <c r="C5" s="51"/>
    </row>
    <row r="6" spans="1:9" s="54" customFormat="1" ht="12.60">
      <c r="A6" s="54" t="s">
        <v>33</v>
      </c>
      <c r="B6" s="136" t="s">
        <v>34</v>
      </c>
    </row>
    <row r="7" spans="1:9" s="54" customFormat="1" ht="12.60">
      <c r="A7" s="54" t="s">
        <v>35</v>
      </c>
      <c r="B7" s="136" t="s">
        <v>34</v>
      </c>
      <c r="C7" s="218" t="s">
        <v>36</v>
      </c>
      <c r="D7" s="218" t="s">
        <v>37</v>
      </c>
    </row>
    <row r="8" spans="1:4" s="54" customFormat="1" ht="12.60">
      <c r="A8" s="57" t="s">
        <v>38</v>
      </c>
      <c r="B8" s="58" t="n">
        <v>208125</v>
      </c>
      <c r="C8" s="58" t="n">
        <v>177866</v>
      </c>
      <c r="D8" s="136" t="n">
        <v>0.5</v>
      </c>
    </row>
    <row r="9" spans="1:4" s="54" customFormat="1" ht="12.60">
      <c r="A9" s="57" t="s">
        <v>39</v>
      </c>
      <c r="B9" s="58" t="n">
        <v>7385</v>
      </c>
      <c r="C9" s="58" t="n">
        <v>4106</v>
      </c>
      <c r="D9" s="136" t="n">
        <v>0.5</v>
      </c>
    </row>
    <row r="10" spans="1:4" s="54" customFormat="1" ht="12.60">
      <c r="A10" s="57" t="s">
        <v>40</v>
      </c>
      <c r="B10" s="58" t="n">
        <v>1239</v>
      </c>
      <c r="C10" s="58" t="n">
        <v>848</v>
      </c>
      <c r="D10" s="59"/>
    </row>
    <row r="11" spans="1:4" s="54" customFormat="1" ht="12.60">
      <c r="A11" s="57" t="s">
        <v>41</v>
      </c>
      <c r="B11" s="58" t="n">
        <v>34995</v>
      </c>
      <c r="C11" s="58" t="n">
        <v>27709</v>
      </c>
      <c r="D11" s="59"/>
    </row>
    <row r="12" spans="1:4" s="54" customFormat="1" ht="12.60">
      <c r="A12" s="57" t="s">
        <v>42</v>
      </c>
      <c r="B12" s="58" t="n">
        <v>27050</v>
      </c>
      <c r="C12" s="58" t="n">
        <v>24473</v>
      </c>
      <c r="D12" s="59"/>
    </row>
    <row r="13" spans="1:4" s="54" customFormat="1" ht="12.60">
      <c r="A13" s="57" t="s">
        <v>43</v>
      </c>
      <c r="B13" s="173" t="s">
        <v>44</v>
      </c>
      <c r="C13" s="174" t="s">
        <v>45</v>
      </c>
      <c r="D13" s="59"/>
    </row>
    <row r="14" spans="1:4" s="54" customFormat="1" ht="12.60">
      <c r="A14" s="57" t="s">
        <v>46</v>
      </c>
      <c r="B14" s="58" t="s">
        <v>44</v>
      </c>
      <c r="C14" s="59" t="s">
        <v>47</v>
      </c>
      <c r="D14" s="59"/>
    </row>
    <row r="15" spans="1:4" s="54" customFormat="1" ht="12.60">
      <c r="A15" s="57" t="s">
        <v>48</v>
      </c>
      <c r="B15" s="58" t="n">
        <v>27050</v>
      </c>
      <c r="C15" s="58" t="n">
        <v>30986</v>
      </c>
      <c r="D15" s="59"/>
    </row>
    <row r="16" spans="1:4" s="54" customFormat="1" ht="12.60">
      <c r="A16" s="57" t="s">
        <v>49</v>
      </c>
      <c r="B16" s="149" t="n">
        <v>0</v>
      </c>
      <c r="C16" s="58" t="n">
        <v>0</v>
      </c>
      <c r="D16" s="59"/>
    </row>
    <row r="17" spans="1:4" s="54" customFormat="1" ht="12.60">
      <c r="A17" s="57" t="s">
        <v>50</v>
      </c>
      <c r="B17" s="149" t="n">
        <v>0</v>
      </c>
      <c r="C17" s="58" t="n">
        <v>0</v>
      </c>
      <c r="D17" s="59"/>
    </row>
    <row r="18" spans="1:3" s="54" customFormat="1" ht="12.60">
      <c r="A18" s="57" t="s">
        <v>51</v>
      </c>
      <c r="B18" s="137" t="n">
        <v>497</v>
      </c>
      <c r="C18" s="59"/>
    </row>
    <row r="19" spans="1:11" s="54" customFormat="1" ht="12.60">
      <c r="A19" s="57" t="s">
        <v>52</v>
      </c>
      <c r="B19" s="58" t="n">
        <v>1970.19000000000005</v>
      </c>
      <c r="C19" s="59"/>
      <c r="E19" s="77" t="s">
        <v>53</v>
      </c>
      <c r="F19" s="52"/>
      <c r="G19" s="52"/>
      <c r="H19" s="52"/>
      <c r="I19" s="52"/>
      <c r="J19" s="52"/>
      <c r="K19" s="53"/>
    </row>
    <row r="20" spans="1:11" s="54" customFormat="1" ht="12.60">
      <c r="A20" s="54" t="s">
        <v>54</v>
      </c>
      <c r="B20" s="60">
        <f>769/3806</f>
        <v>0.202049395691013967</v>
      </c>
      <c r="C20" s="59"/>
      <c r="E20" s="181" t="s">
        <v>55</v>
      </c>
      <c r="K20" s="79"/>
    </row>
    <row r="21" spans="1:11" s="54" customFormat="1" ht="12.60">
      <c r="A21" s="54" t="s">
        <v>56</v>
      </c>
      <c r="B21" s="60" t="n">
        <v>0.239999999999999991</v>
      </c>
      <c r="C21" s="59"/>
      <c r="E21" s="135"/>
      <c r="I21" s="57" t="s">
        <v>57</v>
      </c>
      <c r="J21" s="57" t="s">
        <v>58</v>
      </c>
      <c r="K21" s="79" t="s">
        <v>59</v>
      </c>
    </row>
    <row r="22" spans="1:11" s="54" customFormat="1" ht="12.60">
      <c r="A22" s="51" t="s">
        <v>60</v>
      </c>
      <c r="B22" s="61"/>
      <c r="C22" s="59"/>
      <c r="E22" s="78" t="s">
        <v>61</v>
      </c>
      <c r="I22" s="230">
        <f>IF(C8&gt;0,(B8/C8)^(1/D8)-1,"NA")</f>
        <v>0.369186552050420014</v>
      </c>
      <c r="J22" s="230">
        <f>VLOOKUP(B6,'Industry Averages(US)'!A2:S95,3)</f>
        <v>0.020755625000000002</v>
      </c>
      <c r="K22" s="231">
        <f>VLOOKUP(B7,'Global industry averages'!A2:N95,3)</f>
        <v>0.036947849460000004</v>
      </c>
    </row>
    <row r="23" spans="1:11" s="54" customFormat="1" ht="12.60">
      <c r="A23" s="57" t="s">
        <v>62</v>
      </c>
      <c r="B23" s="346" t="n">
        <v>0.15</v>
      </c>
      <c r="C23" s="59" t="s">
        <v>63</v>
      </c>
      <c r="E23" s="78" t="s">
        <v>64</v>
      </c>
      <c r="I23" s="230">
        <f>'Valuation output'!B4</f>
        <v>0.0771362409268030014</v>
      </c>
      <c r="J23" s="231">
        <f>VLOOKUP(B6,'Industry Averages(US)'!A2:S95,4)</f>
        <v>0.0420773842407519982</v>
      </c>
      <c r="K23" s="231">
        <f>VLOOKUP(B7,'Global industry averages'!A2:N95,4)</f>
        <v>0.0411818943269009985</v>
      </c>
    </row>
    <row r="24" spans="1:11" s="54" customFormat="1" ht="12.60">
      <c r="A24" s="57" t="s">
        <v>65</v>
      </c>
      <c r="B24" s="346" t="n">
        <v>0.125</v>
      </c>
      <c r="C24" s="59" t="s">
        <v>66</v>
      </c>
      <c r="E24" s="78" t="s">
        <v>67</v>
      </c>
      <c r="I24" s="232">
        <f>B8/(B11+B12-B15)</f>
        <v>5.94727818259751029</v>
      </c>
      <c r="J24" s="232">
        <f>VLOOKUP(B6,'Industry Averages(US)'!A2:S95,14)</f>
        <v>3.67189921606202985</v>
      </c>
      <c r="K24" s="232">
        <f>VLOOKUP(B7,'Global industry averages'!A2:N95,14)</f>
        <v>2.62304509580232015</v>
      </c>
    </row>
    <row r="25" spans="1:11" s="54" customFormat="1" ht="12.60">
      <c r="A25" s="57" t="s">
        <v>68</v>
      </c>
      <c r="B25" s="63" t="n">
        <v>5</v>
      </c>
      <c r="C25" s="59" t="s">
        <v>69</v>
      </c>
      <c r="E25" s="78" t="s">
        <v>70</v>
      </c>
      <c r="I25" s="231">
        <f>'Valuation output'!B7/'Valuation output'!B39</f>
        <v>0.152425890343680015</v>
      </c>
      <c r="J25" s="231">
        <f>VLOOKUP(B6,'Industry Averages(US)'!A2:S95,5)</f>
        <v>0.119029963471071</v>
      </c>
      <c r="K25" s="231">
        <f>VLOOKUP(B7,'Global industry averages'!A2:N95,5)</f>
        <v>0.0833519291038560084</v>
      </c>
    </row>
    <row r="26" spans="1:11" s="54" customFormat="1" ht="12.60">
      <c r="A26" s="57" t="s">
        <v>71</v>
      </c>
      <c r="B26" s="63">
        <f>I24</f>
        <v>5.94727818259751029</v>
      </c>
      <c r="C26" s="59" t="s">
        <v>72</v>
      </c>
      <c r="E26" s="78" t="s">
        <v>73</v>
      </c>
      <c r="I26" s="145"/>
      <c r="J26" s="233">
        <f>VLOOKUP(B6,'Industry Averages(US)'!A2:S95,10)</f>
        <v>0.499397698378044019</v>
      </c>
      <c r="K26" s="231">
        <f>VLOOKUP(B6,'Global industry averages'!A2:Z95,10)</f>
        <v>0.306129225000000016</v>
      </c>
    </row>
    <row r="27" spans="1:11" s="54" customFormat="1" ht="12.60">
      <c r="A27" s="51" t="s">
        <v>74</v>
      </c>
      <c r="B27" s="64"/>
      <c r="C27" s="59"/>
      <c r="E27" s="55" t="s">
        <v>75</v>
      </c>
      <c r="F27" s="56"/>
      <c r="G27" s="56"/>
      <c r="H27" s="56"/>
      <c r="I27" s="56"/>
      <c r="J27" s="234">
        <f>VLOOKUP(B6,'Industry Averages(US)'!A2:S95,13)</f>
        <v>0.0661083214324340052</v>
      </c>
      <c r="K27" s="231">
        <f>VLOOKUP(B6,'Global industry averages'!A2:Z95,13)</f>
        <v>0.077620193868047993</v>
      </c>
    </row>
    <row r="28" spans="1:3" s="54" customFormat="1" ht="12.60">
      <c r="A28" s="57" t="s">
        <v>76</v>
      </c>
      <c r="B28" s="62" t="n">
        <v>0.03</v>
      </c>
      <c r="C28" s="59"/>
    </row>
    <row r="29" spans="1:10" s="54" customFormat="1" ht="12.60">
      <c r="A29" s="57" t="s">
        <v>77</v>
      </c>
      <c r="B29" s="346" t="n">
        <v>0.0796999999999999886</v>
      </c>
      <c r="C29" s="59"/>
      <c r="E29" s="353" t="s">
        <v>78</v>
      </c>
      <c r="F29" s="354"/>
      <c r="G29" s="354"/>
      <c r="H29" s="354"/>
      <c r="I29" s="354"/>
      <c r="J29" s="355"/>
    </row>
    <row r="30" spans="1:10" s="54" customFormat="1" ht="12.60">
      <c r="A30" s="51" t="s">
        <v>79</v>
      </c>
      <c r="B30" s="65"/>
      <c r="C30" s="65"/>
      <c r="D30" s="59"/>
      <c r="E30" s="78" t="s">
        <v>80</v>
      </c>
      <c r="J30" s="229">
        <f>'Valuation output'!M3</f>
        <v>626133.958954878035</v>
      </c>
    </row>
    <row r="31" spans="1:10" s="54" customFormat="1" ht="12.60">
      <c r="A31" s="54" t="s">
        <v>81</v>
      </c>
      <c r="B31" s="62" t="s">
        <v>82</v>
      </c>
      <c r="C31"/>
      <c r="D31" s="59"/>
      <c r="E31" s="78" t="s">
        <v>83</v>
      </c>
      <c r="J31" s="229">
        <f>'Valuation output'!M5</f>
        <v>78266.744869359798</v>
      </c>
    </row>
    <row r="32" spans="1:10" s="54" customFormat="1" ht="12.60">
      <c r="A32" s="54" t="s">
        <v>84</v>
      </c>
      <c r="B32" s="63" t="n">
        <v>21.6499999999999986</v>
      </c>
      <c r="C32" s="228"/>
      <c r="D32" s="59"/>
      <c r="E32" s="78" t="s">
        <v>85</v>
      </c>
      <c r="J32" s="230">
        <f>'Valuation output'!L40</f>
        <v>0.381789273387746988</v>
      </c>
    </row>
    <row r="33" spans="1:10" s="54" customFormat="1" ht="12.60">
      <c r="A33" s="54" t="s">
        <v>86</v>
      </c>
      <c r="B33" s="66" t="n">
        <v>61.1300000000000026</v>
      </c>
      <c r="C33" s="227"/>
      <c r="D33" s="59"/>
      <c r="E33" s="219" t="s">
        <v>87</v>
      </c>
      <c r="F33" s="56"/>
      <c r="G33" s="56"/>
      <c r="H33" s="56"/>
      <c r="I33" s="56"/>
      <c r="J33" s="220"/>
    </row>
    <row r="34" spans="1:4" s="54" customFormat="1" ht="12.60">
      <c r="A34" s="54" t="s">
        <v>88</v>
      </c>
      <c r="B34" s="63" t="n">
        <v>5.96999999999999975</v>
      </c>
      <c r="C34" s="228"/>
      <c r="D34" s="59"/>
    </row>
    <row r="35" spans="1:3" s="54" customFormat="1" ht="12.60">
      <c r="A35" s="54" t="s">
        <v>89</v>
      </c>
      <c r="B35" s="62" t="n">
        <v>0.3</v>
      </c>
      <c r="C35" s="59"/>
    </row>
    <row r="36" spans="1:4" s="54" customFormat="1" ht="12.60">
      <c r="B36" s="67"/>
      <c r="C36" s="65"/>
      <c r="D36" s="59"/>
    </row>
    <row r="37" spans="1:14" s="68" customFormat="1" ht="13.45">
      <c r="A37" s="348" t="s">
        <v>90</v>
      </c>
      <c r="B37" s="348"/>
      <c r="C37" s="75"/>
      <c r="D37" s="59"/>
      <c r="H37" s="54"/>
      <c r="I37" s="54"/>
      <c r="J37" s="54"/>
      <c r="K37" s="54"/>
      <c r="L37" s="54"/>
      <c r="M37" s="54"/>
      <c r="N37" s="54"/>
    </row>
    <row r="38" spans="1:4" s="54" customFormat="1" ht="12.60">
      <c r="A38" s="68" t="s">
        <v>91</v>
      </c>
      <c r="B38" s="68"/>
      <c r="C38" s="76"/>
      <c r="D38" s="59"/>
    </row>
    <row r="39" spans="1:14" s="54" customFormat="1" ht="12.60">
      <c r="A39" s="54" t="s">
        <v>92</v>
      </c>
      <c r="B39" s="69" t="s">
        <v>44</v>
      </c>
      <c r="C39" s="59" t="s">
        <v>93</v>
      </c>
      <c r="N39" s="68"/>
    </row>
    <row r="40" spans="1:14" s="68" customFormat="1" ht="13.45">
      <c r="A40" s="54" t="s">
        <v>94</v>
      </c>
      <c r="B40" s="62" t="n">
        <v>0.0749999999999999822</v>
      </c>
      <c r="C40" s="59" t="s">
        <v>95</v>
      </c>
      <c r="D40" s="54"/>
      <c r="N40" s="54"/>
    </row>
    <row r="41" spans="1:4" s="54" customFormat="1" ht="12.60">
      <c r="A41" s="68" t="s">
        <v>96</v>
      </c>
      <c r="B41" s="68"/>
      <c r="C41" s="59"/>
      <c r="D41" s="68"/>
    </row>
    <row r="42" spans="1:14" s="54" customFormat="1" ht="12.60">
      <c r="A42" s="54" t="s">
        <v>92</v>
      </c>
      <c r="B42" s="69" t="s">
        <v>44</v>
      </c>
      <c r="C42" s="59" t="s">
        <v>97</v>
      </c>
      <c r="N42" s="68"/>
    </row>
    <row r="43" spans="1:13" s="54" customFormat="1" ht="12.60">
      <c r="A43" s="54" t="s">
        <v>98</v>
      </c>
      <c r="B43" s="70" t="n">
        <v>0.1</v>
      </c>
      <c r="C43" s="59" t="s">
        <v>99</v>
      </c>
      <c r="H43" s="68"/>
      <c r="I43" s="68"/>
      <c r="J43" s="68"/>
      <c r="K43" s="68"/>
      <c r="L43" s="68"/>
      <c r="M43" s="68"/>
    </row>
    <row r="44" spans="1:3" s="54" customFormat="1" ht="12.60">
      <c r="A44" s="68" t="s">
        <v>100</v>
      </c>
      <c r="C44" s="59"/>
    </row>
    <row r="45" spans="1:3" s="54" customFormat="1" ht="12.60">
      <c r="A45" s="54" t="s">
        <v>92</v>
      </c>
      <c r="B45" s="69" t="s">
        <v>82</v>
      </c>
      <c r="C45" s="59" t="s">
        <v>101</v>
      </c>
    </row>
    <row r="46" spans="1:3" s="54" customFormat="1" ht="12.60">
      <c r="A46" s="54" t="s">
        <v>102</v>
      </c>
      <c r="B46" s="70" t="n">
        <v>0.2</v>
      </c>
      <c r="C46" s="59" t="s">
        <v>103</v>
      </c>
    </row>
    <row r="47" spans="1:3" s="54" customFormat="1" ht="12.60">
      <c r="A47" s="54" t="s">
        <v>104</v>
      </c>
      <c r="B47" s="70" t="s">
        <v>105</v>
      </c>
      <c r="C47" s="59" t="s">
        <v>106</v>
      </c>
    </row>
    <row r="48" spans="1:3" s="54" customFormat="1" ht="12.60">
      <c r="A48" s="54" t="s">
        <v>107</v>
      </c>
      <c r="B48" s="70" t="n">
        <v>0.5</v>
      </c>
      <c r="C48" s="59" t="s">
        <v>108</v>
      </c>
    </row>
    <row r="49" spans="1:3" s="54" customFormat="1" ht="12.60">
      <c r="A49" s="68" t="s">
        <v>109</v>
      </c>
      <c r="B49" s="71"/>
      <c r="C49" s="59"/>
    </row>
    <row r="50" spans="1:3" s="54" customFormat="1" ht="12.60">
      <c r="A50" s="54" t="s">
        <v>92</v>
      </c>
      <c r="B50" s="70" t="s">
        <v>82</v>
      </c>
      <c r="C50" s="59"/>
    </row>
    <row r="51" spans="1:3" s="54" customFormat="1" ht="12.60">
      <c r="A51" s="68" t="s">
        <v>110</v>
      </c>
      <c r="C51" s="59"/>
    </row>
    <row r="52" spans="1:3" s="54" customFormat="1" ht="12.60">
      <c r="A52" s="54" t="s">
        <v>92</v>
      </c>
      <c r="B52" s="69" t="s">
        <v>82</v>
      </c>
      <c r="C52" s="59" t="s">
        <v>111</v>
      </c>
    </row>
    <row r="53" spans="1:3" s="54" customFormat="1" ht="12.60">
      <c r="A53" s="54" t="s">
        <v>112</v>
      </c>
      <c r="B53" s="66" t="n">
        <v>250</v>
      </c>
      <c r="C53" s="59" t="s">
        <v>113</v>
      </c>
    </row>
    <row r="54" spans="1:3" s="54" customFormat="1" ht="12.60">
      <c r="A54" s="54" t="s">
        <v>114</v>
      </c>
      <c r="B54" s="227"/>
      <c r="C54" s="59"/>
    </row>
    <row r="55" spans="1:3" s="54" customFormat="1" ht="12.60">
      <c r="A55" s="54" t="s">
        <v>92</v>
      </c>
      <c r="B55" s="66" t="s">
        <v>82</v>
      </c>
      <c r="C55" s="59"/>
    </row>
    <row r="56" spans="1:14" s="221" customFormat="1" ht="12.35">
      <c r="A56" s="54" t="s">
        <v>115</v>
      </c>
      <c r="B56" s="226" t="n">
        <v>0.01</v>
      </c>
      <c r="C56" s="59" t="s">
        <v>116</v>
      </c>
      <c r="D56" s="54"/>
      <c r="H56" s="68"/>
      <c r="I56" s="68"/>
      <c r="J56" s="68"/>
      <c r="K56" s="68"/>
      <c r="L56" s="68"/>
      <c r="M56" s="68"/>
      <c r="N56" s="68"/>
    </row>
    <row r="57" spans="1:14">
      <c r="A57" s="221" t="s">
        <v>117</v>
      </c>
      <c r="B57" s="221"/>
      <c r="C57" s="221"/>
      <c r="D57" s="221"/>
      <c r="H57" s="54"/>
      <c r="I57" s="54"/>
      <c r="J57" s="54"/>
      <c r="K57" s="54"/>
      <c r="L57" s="54"/>
      <c r="M57" s="54"/>
      <c r="N57" s="54"/>
    </row>
    <row r="58" spans="1:13">
      <c r="A58" s="7" t="s">
        <v>118</v>
      </c>
      <c r="B58" s="222" t="s">
        <v>82</v>
      </c>
      <c r="H58" s="54"/>
      <c r="I58" s="54"/>
      <c r="J58" s="54"/>
      <c r="K58" s="54"/>
      <c r="L58" s="54"/>
      <c r="M58" s="54"/>
    </row>
    <row r="59" spans="1:3">
      <c r="A59" s="7" t="s">
        <v>119</v>
      </c>
      <c r="B59" s="158" t="n">
        <v>140000</v>
      </c>
      <c r="C59" s="236" t="s">
        <v>120</v>
      </c>
    </row>
    <row r="60" spans="1:3">
      <c r="A60" s="235" t="s">
        <v>121</v>
      </c>
      <c r="B60" s="223" t="n">
        <v>0.15</v>
      </c>
      <c r="C60" s="236" t="s">
        <v>122</v>
      </c>
    </row>
    <row r="61" spans="1:1">
      <c r="A61" s="125"/>
    </row>
  </sheetData>
  <mergeCells count="3">
    <mergeCell ref="A3:J3"/>
    <mergeCell ref="E29:J29"/>
    <mergeCell ref="A37:B37"/>
  </mergeCells>
  <dataValidations count="6">
    <dataValidation sqref="B5" type="list" operator="between" errorStyle="stop" allowBlank="1" showInputMessage="1" showErrorMessage="1" view="0">
      <formula1>'Country equity risk premiums'!$A$2:$A$187</formula1>
    </dataValidation>
    <dataValidation sqref="B6" type="list" operator="between" errorStyle="stop" allowBlank="1" showInputMessage="1" showErrorMessage="1" view="0">
      <formula1>'Industry Averages(US)'!$A$2:$A$95</formula1>
    </dataValidation>
    <dataValidation sqref="B7" type="list" operator="between" errorStyle="stop" allowBlank="1" showInputMessage="1" showErrorMessage="1" view="0">
      <formula1>'Global industry averages'!$A$2:$A$95</formula1>
    </dataValidation>
    <dataValidation sqref="B13:B14 B31 B39 B42 B45 B50 B52 B55 B58" type="list" operator="between" errorStyle="stop" allowBlank="1" showInputMessage="1" showErrorMessage="1" view="0">
      <formula1>'Answer keys'!$A$2:$A$3</formula1>
    </dataValidation>
    <dataValidation sqref="B20" type="decimal" operator="between" errorStyle="stop"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view="0">
      <formula1>0</formula1>
      <formula2>1</formula2>
    </dataValidation>
    <dataValidation sqref="B47" type="list" operator="between" errorStyle="stop" allowBlank="1" showInputMessage="1" showErrorMessage="1" view="0">
      <formula1>'Answer keys'!$B$2:$B$3</formula1>
    </dataValidation>
  </dataValidations>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headerFooter>
    <extLst>
      <ext uri="smNativeData">
        <pm:header xmlns:pm="smNativeData" id="1696577006" l="56" r="56" t="56" b="56" borderId="0" fillId="0" vertical="0"/>
        <pm:footer xmlns:pm="smNativeData" id="1696577006" l="56" r="56" t="56" b="56" borderId="0" fillId="0" vertical="2"/>
      </ext>
    </extLst>
  </headerFooter>
  <legacyDrawing r:id="rId2"/>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N40"/>
  <sheetViews>
    <sheetView tabSelected="1" view="normal" zoomScale="125" workbookViewId="0">
      <selection activeCell="C2" sqref="C2"/>
    </sheetView>
  </sheetViews>
  <sheetFormatPr baseColWidth="10" defaultColWidth="11.500000" defaultRowHeight="14.70"/>
  <cols>
    <col min="1" max="1" width="36.666667" customWidth="1" style="47"/>
    <col min="2" max="2" width="16.111111" customWidth="1" style="47"/>
    <col min="3" max="13" width="16.111111" customWidth="1" style="50"/>
    <col min="14" max="14" width="12.666667" customWidth="1"/>
  </cols>
  <sheetData>
    <row r="1" spans="1:13">
      <c r="A1" s="44"/>
      <c r="B1" s="45" t="s">
        <v>123</v>
      </c>
      <c r="C1" s="45" t="n">
        <v>1</v>
      </c>
      <c r="D1" s="45" t="n">
        <v>2</v>
      </c>
      <c r="E1" s="45" t="n">
        <v>3</v>
      </c>
      <c r="F1" s="45" t="n">
        <v>4</v>
      </c>
      <c r="G1" s="45" t="n">
        <v>5</v>
      </c>
      <c r="H1" s="45" t="n">
        <v>6</v>
      </c>
      <c r="I1" s="45" t="n">
        <v>7</v>
      </c>
      <c r="J1" s="45" t="n">
        <v>8</v>
      </c>
      <c r="K1" s="45" t="n">
        <v>9</v>
      </c>
      <c r="L1" s="45" t="n">
        <v>10</v>
      </c>
      <c r="M1" s="49" t="s">
        <v>124</v>
      </c>
    </row>
    <row r="2" spans="1:13">
      <c r="A2" s="47" t="s">
        <v>125</v>
      </c>
      <c r="B2" s="80"/>
      <c r="C2" s="81">
        <f>'Input sheet'!B23</f>
        <v>0.15</v>
      </c>
      <c r="D2" s="81">
        <f>C2</f>
        <v>0.15</v>
      </c>
      <c r="E2" s="81">
        <f>D2</f>
        <v>0.15</v>
      </c>
      <c r="F2" s="81">
        <f>E2</f>
        <v>0.15</v>
      </c>
      <c r="G2" s="81">
        <f>F2</f>
        <v>0.15</v>
      </c>
      <c r="H2" s="81">
        <f>G2-((G2-$M$2)/5)</f>
        <v>0.126000000000000001</v>
      </c>
      <c r="I2" s="81">
        <f>G2-((G2-$M$2)/5)*2</f>
        <v>0.102000000000000002</v>
      </c>
      <c r="J2" s="81">
        <f>G2-((G2-$M$2)/5)*3</f>
        <v>0.0780000000000000071</v>
      </c>
      <c r="K2" s="81">
        <f>G2-((G2-$M$2)/5)*4</f>
        <v>0.0540000000000000036</v>
      </c>
      <c r="L2" s="81">
        <f>G2-((G2-$M$2)/5)*5</f>
        <v>0.03</v>
      </c>
      <c r="M2" s="82">
        <f>IF('Input sheet'!B55="Yes",'Input sheet'!B56,'Input sheet'!B28)</f>
        <v>0.03</v>
      </c>
    </row>
    <row r="3" spans="1:13" ht="15" customHeight="1">
      <c r="A3" s="47" t="s">
        <v>38</v>
      </c>
      <c r="B3" s="83">
        <f>'Input sheet'!B8</f>
        <v>208125</v>
      </c>
      <c r="C3" s="84">
        <f>B3*(1+C2)</f>
        <v>239343.75</v>
      </c>
      <c r="D3" s="84">
        <f>C3*(1+D2)</f>
        <v>275245.3125</v>
      </c>
      <c r="E3" s="84">
        <f>D3*(1+E2)</f>
        <v>316532.109375</v>
      </c>
      <c r="F3" s="84">
        <f>E3*(1+F2)</f>
        <v>364011.92578125</v>
      </c>
      <c r="G3" s="84">
        <f>F3*(1+G2)</f>
        <v>418613.714648437977</v>
      </c>
      <c r="H3" s="84">
        <f>G3*(1+H2)</f>
        <v>471359.042694140982</v>
      </c>
      <c r="I3" s="84">
        <f>H3*(1+I2)</f>
        <v>519437.665048943018</v>
      </c>
      <c r="J3" s="84">
        <f>I3*(1+J2)</f>
        <v>559953.802922760951</v>
      </c>
      <c r="K3" s="84">
        <f>J3*(1+K2)</f>
        <v>590191.30828058999</v>
      </c>
      <c r="L3" s="84">
        <f>K3*(1+L2)</f>
        <v>607897.047529008007</v>
      </c>
      <c r="M3" s="98">
        <f>L3*(1+M2)</f>
        <v>626133.958954878035</v>
      </c>
    </row>
    <row r="4" spans="1:13" ht="15" customHeight="1">
      <c r="A4" s="47" t="s">
        <v>126</v>
      </c>
      <c r="B4" s="85">
        <f>B5/B3</f>
        <v>0.0771362409268030014</v>
      </c>
      <c r="C4" s="81">
        <f>IF(C1&gt;'Input sheet'!$B$25,'Input sheet'!$B$24,'Input sheet'!$B$24-(('Input sheet'!$B$24-$B$4)/'Input sheet'!$B$25)*('Input sheet'!$B$25-C1))</f>
        <v>0.0867089927414439998</v>
      </c>
      <c r="D4" s="81">
        <f>IF(D1&gt;'Input sheet'!$B$25,'Input sheet'!$B$24,'Input sheet'!$B$24-(('Input sheet'!$B$24-$B$4)/'Input sheet'!$B$25)*('Input sheet'!$B$25-D1))</f>
        <v>0.0962817445560830087</v>
      </c>
      <c r="E4" s="81">
        <f>IF(E1&gt;'Input sheet'!$B$25,'Input sheet'!$B$24,'Input sheet'!$B$24-(('Input sheet'!$B$24-$B$4)/'Input sheet'!$B$25)*('Input sheet'!$B$25-E1))</f>
        <v>0.105854496370721995</v>
      </c>
      <c r="F4" s="81">
        <f>IF(F1&gt;'Input sheet'!$B$25,'Input sheet'!$B$24,'Input sheet'!$B$24-(('Input sheet'!$B$24-$B$4)/'Input sheet'!$B$25)*('Input sheet'!$B$25-F1))</f>
        <v>0.115427248185361009</v>
      </c>
      <c r="G4" s="81">
        <f>IF(G1&gt;'Input sheet'!$B$25,'Input sheet'!$B$24,'Input sheet'!$B$24-(('Input sheet'!$B$24-$B$4)/'Input sheet'!$B$25)*('Input sheet'!$B$25-G1))</f>
        <v>0.125</v>
      </c>
      <c r="H4" s="81">
        <f>IF(H1&gt;'Input sheet'!$B$25,'Input sheet'!$B$24,'Input sheet'!$B$24-(('Input sheet'!$B$24-$B$4)/'Input sheet'!$B$25)*('Input sheet'!$B$25-H1))</f>
        <v>0.125</v>
      </c>
      <c r="I4" s="81">
        <f>IF(I1&gt;'Input sheet'!$B$25,'Input sheet'!$B$24,'Input sheet'!$B$24-(('Input sheet'!$B$24-$B$4)/'Input sheet'!$B$25)*('Input sheet'!$B$25-I1))</f>
        <v>0.125</v>
      </c>
      <c r="J4" s="81">
        <f>IF(J1&gt;'Input sheet'!$B$25,'Input sheet'!$B$24,'Input sheet'!$B$24-(('Input sheet'!$B$24-$B$4)/'Input sheet'!$B$25)*('Input sheet'!$B$25-J1))</f>
        <v>0.125</v>
      </c>
      <c r="K4" s="81">
        <f>IF(K1&gt;'Input sheet'!$B$25,'Input sheet'!$B$24,'Input sheet'!$B$24-(('Input sheet'!$B$24-$B$4)/'Input sheet'!$B$25)*('Input sheet'!$B$25-K1))</f>
        <v>0.125</v>
      </c>
      <c r="L4" s="81">
        <f>IF(L1&gt;'Input sheet'!$B$25,'Input sheet'!$B$24,'Input sheet'!$B$24-(('Input sheet'!$B$24-$B$4)/'Input sheet'!$B$25)*('Input sheet'!$B$25-L1))</f>
        <v>0.125</v>
      </c>
      <c r="M4" s="82">
        <f>L4</f>
        <v>0.125</v>
      </c>
    </row>
    <row r="5" spans="1:14" ht="15" customHeight="1">
      <c r="A5" s="47" t="s">
        <v>127</v>
      </c>
      <c r="B5" s="83">
        <f>IF('Input sheet'!B14="Yes",IF('Input sheet'!B13="Yes",'Input sheet'!B9+'Operating lease converter'!F32+'R&amp; D converter'!D39,'Input sheet'!B9+'Operating lease converter'!F32),IF('Input sheet'!B13="Yes",'Input sheet'!B9+'R&amp; D converter'!D39,'Input sheet'!B9))</f>
        <v>16053.9801428907995</v>
      </c>
      <c r="C5" s="84">
        <f>C4*C3</f>
        <v>20753.2554814600007</v>
      </c>
      <c r="D5" s="84">
        <f>D4*D3</f>
        <v>26501.0988683842006</v>
      </c>
      <c r="E5" s="84">
        <f>E4*E3</f>
        <v>33506.3470230528983</v>
      </c>
      <c r="F5" s="84">
        <f>F4*F3</f>
        <v>42016.8948995836035</v>
      </c>
      <c r="G5" s="84">
        <f>G4*G3</f>
        <v>52326.7143310547981</v>
      </c>
      <c r="H5" s="84">
        <f>H4*H3</f>
        <v>58919.880336767601</v>
      </c>
      <c r="I5" s="84">
        <f>I4*I3</f>
        <v>64929.708131117899</v>
      </c>
      <c r="J5" s="84">
        <f>J4*J3</f>
        <v>69994.2253653451044</v>
      </c>
      <c r="K5" s="84">
        <f>K4*K3</f>
        <v>73773.913535073807</v>
      </c>
      <c r="L5" s="84">
        <f>L4*L3</f>
        <v>75987.1309411260008</v>
      </c>
      <c r="M5" s="98">
        <f>M4*M3</f>
        <v>78266.744869359798</v>
      </c>
      <c r="N5" s="100">
        <f>M5-B5</f>
        <v>62212.7647264690022</v>
      </c>
    </row>
    <row r="6" spans="1:13" ht="15" customHeight="1">
      <c r="A6" s="47" t="s">
        <v>128</v>
      </c>
      <c r="B6" s="86">
        <f>'Input sheet'!B20</f>
        <v>0.202049395691013967</v>
      </c>
      <c r="C6" s="87">
        <f>B6</f>
        <v>0.202049395691013967</v>
      </c>
      <c r="D6" s="87">
        <f>C6</f>
        <v>0.202049395691013967</v>
      </c>
      <c r="E6" s="87">
        <f>D6</f>
        <v>0.202049395691013967</v>
      </c>
      <c r="F6" s="87">
        <f>E6</f>
        <v>0.202049395691013967</v>
      </c>
      <c r="G6" s="87">
        <f>F6</f>
        <v>0.202049395691013967</v>
      </c>
      <c r="H6" s="87">
        <f>G6+($M$6-$G$6)/5</f>
        <v>0.209639516552810967</v>
      </c>
      <c r="I6" s="87">
        <f>H6+($M$6-$G$6)/5</f>
        <v>0.217229637414607968</v>
      </c>
      <c r="J6" s="87">
        <f>I6+($M$6-$G$6)/5</f>
        <v>0.224819758276404968</v>
      </c>
      <c r="K6" s="87">
        <f>J6+($M$6-$G$6)/5</f>
        <v>0.232409879138201969</v>
      </c>
      <c r="L6" s="87">
        <f>K6+($M$6-$G$6)/5</f>
        <v>0.23999999999999897</v>
      </c>
      <c r="M6" s="87">
        <f>IF('Input sheet'!B50="Yes",'Input sheet'!B20,'Input sheet'!B21)</f>
        <v>0.239999999999999991</v>
      </c>
    </row>
    <row r="7" spans="1:13" ht="15" customHeight="1">
      <c r="A7" s="47" t="s">
        <v>129</v>
      </c>
      <c r="B7" s="83">
        <f>IF(B5&gt;0,B5*(1-B6),B5)</f>
        <v>12810.2831565842007</v>
      </c>
      <c r="C7" s="84">
        <f>IF(C5&gt;0,IF(C5&lt;B10,C5,C5-(C5-B10)*C6),C5)</f>
        <v>16560.0727528097996</v>
      </c>
      <c r="D7" s="84">
        <f>IF(D5&gt;0,IF(D5&lt;C10,D5,D5-(D5-C10)*D6),D5)</f>
        <v>21146.5678568793992</v>
      </c>
      <c r="E7" s="84">
        <f>IF(E5&gt;0,IF(E5&lt;D10,E5,E5-(E5-D10)*E6),E5)</f>
        <v>26736.4098552317009</v>
      </c>
      <c r="F7" s="84">
        <f>IF(F5&gt;0,IF(F5&lt;E10,F5,F5-(F5-E10)*F6),F5)</f>
        <v>33527.4066763099036</v>
      </c>
      <c r="G7" s="84">
        <f>IF(G5&gt;0,IF(G5&lt;F10,G5,G5-(G5-F10)*G6),G5)</f>
        <v>41754.1333219688968</v>
      </c>
      <c r="H7" s="84">
        <f>IF(H5&gt;0,IF(H5&lt;G10,H5,H5-(H5-G10)*H6),H5)</f>
        <v>46567.9451076182013</v>
      </c>
      <c r="I7" s="84">
        <f>IF(I5&gt;0,IF(I5&lt;H10,I5,I5-(I5-H10)*I6),I5)</f>
        <v>50825.0511763588001</v>
      </c>
      <c r="J7" s="84">
        <f>IF(J5&gt;0,IF(J5&lt;I10,J5,J5-(J5-I10)*J6),J5)</f>
        <v>54258.1405379639982</v>
      </c>
      <c r="K7" s="84">
        <f>IF(K5&gt;0,IF(K5&lt;J10,K5,K5-(K5-J10)*K6),K5)</f>
        <v>56628.1272068351027</v>
      </c>
      <c r="L7" s="84">
        <f>IF(L5&gt;0,IF(L5&lt;K10,L5,L5-(L5-K10)*L6),L5)</f>
        <v>57750.2195152557979</v>
      </c>
      <c r="M7" s="84">
        <f>M5*(1-M6)</f>
        <v>59482.7261007135021</v>
      </c>
    </row>
    <row r="8" spans="1:14" ht="15" customHeight="1">
      <c r="A8" s="47" t="s">
        <v>130</v>
      </c>
      <c r="B8" s="83"/>
      <c r="C8" s="84">
        <f>(C3-B3)/C38</f>
        <v>5249.25</v>
      </c>
      <c r="D8" s="84">
        <f>(D3-C3)/D38</f>
        <v>6036.63749999999982</v>
      </c>
      <c r="E8" s="84">
        <f>(E3-D3)/E38</f>
        <v>6942.13312500000029</v>
      </c>
      <c r="F8" s="84">
        <f>(F3-E3)/F38</f>
        <v>7983.45309375001034</v>
      </c>
      <c r="G8" s="84">
        <f>(G3-F3)/G38</f>
        <v>9180.97105781259052</v>
      </c>
      <c r="H8" s="84">
        <f>(H3-G3)/H38</f>
        <v>8868.81804184686007</v>
      </c>
      <c r="I8" s="84">
        <f>(I3-H3)/I38</f>
        <v>8084.13880747769963</v>
      </c>
      <c r="J8" s="84">
        <f>(J3-I3)/J38</f>
        <v>6812.55132681925988</v>
      </c>
      <c r="K8" s="84">
        <f>(K3-J3)/K38</f>
        <v>5084.25945944612977</v>
      </c>
      <c r="L8" s="84">
        <f>(L3-K3)/L38</f>
        <v>2977.11637236463002</v>
      </c>
      <c r="M8" s="88">
        <f>IF(M2&gt;0,(M2/M40)*M7,0)</f>
        <v>17844.8178302140986</v>
      </c>
      <c r="N8" s="100">
        <f>SUM(C8:M8)</f>
        <v>85064.146614731304</v>
      </c>
    </row>
    <row r="9" spans="1:13" ht="15" customHeight="1">
      <c r="A9" s="47" t="s">
        <v>131</v>
      </c>
      <c r="B9" s="83"/>
      <c r="C9" s="84">
        <f>C7-C8</f>
        <v>11310.8227528097996</v>
      </c>
      <c r="D9" s="84">
        <f>D7-D8</f>
        <v>15109.9303568794003</v>
      </c>
      <c r="E9" s="84">
        <f>E7-E8</f>
        <v>19794.2767302317006</v>
      </c>
      <c r="F9" s="84">
        <f>F7-F8</f>
        <v>25543.9535825599014</v>
      </c>
      <c r="G9" s="84">
        <f>G7-G8</f>
        <v>32573.1622641563008</v>
      </c>
      <c r="H9" s="84">
        <f>H7-H8</f>
        <v>37699.127065771303</v>
      </c>
      <c r="I9" s="84">
        <f>I7-I8</f>
        <v>42740.9123688811014</v>
      </c>
      <c r="J9" s="84">
        <f>J7-J8</f>
        <v>47445.5892111447029</v>
      </c>
      <c r="K9" s="84">
        <f>K7-K8</f>
        <v>51543.8677473889984</v>
      </c>
      <c r="L9" s="84">
        <f>L7-L8</f>
        <v>54773.1031428912029</v>
      </c>
      <c r="M9" s="88">
        <f>M7-M8</f>
        <v>41637.9082704993998</v>
      </c>
    </row>
    <row r="10" spans="1:13" ht="15" customHeight="1">
      <c r="A10" s="47" t="s">
        <v>132</v>
      </c>
      <c r="B10" s="83">
        <f>IF('Input sheet'!B52="Yes",'Input sheet'!B53,0)</f>
        <v>0</v>
      </c>
      <c r="C10" s="84">
        <f>IF(C5&lt;0,B10-C5,IF(B10&gt;C5,B10-C5,0))</f>
        <v>0</v>
      </c>
      <c r="D10" s="84">
        <f>IF(D5&lt;0,C10-D5,IF(C10&gt;D5,C10-D5,0))</f>
        <v>0</v>
      </c>
      <c r="E10" s="84">
        <f>IF(E5&lt;0,D10-E5,IF(D10&gt;E5,D10-E5,0))</f>
        <v>0</v>
      </c>
      <c r="F10" s="84">
        <f>IF(F5&lt;0,E10-F5,IF(E10&gt;F5,E10-F5,0))</f>
        <v>0</v>
      </c>
      <c r="G10" s="84">
        <f>IF(G5&lt;0,F10-G5,IF(F10&gt;G5,F10-G5,0))</f>
        <v>0</v>
      </c>
      <c r="H10" s="84">
        <f>IF(H5&lt;0,G10-H5,IF(G10&gt;H5,G10-H5,0))</f>
        <v>0</v>
      </c>
      <c r="I10" s="84">
        <f>IF(I5&lt;0,H10-I5,IF(H10&gt;I5,H10-I5,0))</f>
        <v>0</v>
      </c>
      <c r="J10" s="84">
        <f>IF(J5&lt;0,I10-J5,IF(I10&gt;J5,I10-J5,0))</f>
        <v>0</v>
      </c>
      <c r="K10" s="84">
        <f>IF(K5&lt;0,J10-K5,IF(J10&gt;K5,J10-K5,0))</f>
        <v>0</v>
      </c>
      <c r="L10" s="84">
        <f>IF(L5&lt;0,K10-L5,IF(K10&gt;L5,K10-L5,0))</f>
        <v>0</v>
      </c>
      <c r="M10" s="84">
        <f>IF(M5&lt;0,L10-M5,IF(L10&gt;M5,L10-M5,0))</f>
        <v>0</v>
      </c>
    </row>
    <row r="11" spans="2:13" ht="15" customHeight="1">
      <c r="B11" s="80"/>
      <c r="C11" s="89"/>
      <c r="D11" s="89"/>
      <c r="E11" s="89"/>
      <c r="F11" s="89"/>
      <c r="G11" s="89"/>
      <c r="H11" s="89"/>
      <c r="I11" s="89"/>
      <c r="J11" s="89"/>
      <c r="K11" s="89"/>
      <c r="L11" s="89"/>
      <c r="M11" s="89"/>
    </row>
    <row r="12" spans="1:13" ht="15" customHeight="1">
      <c r="A12" s="47" t="s">
        <v>133</v>
      </c>
      <c r="B12" s="85"/>
      <c r="C12" s="81">
        <f>'Input sheet'!B29</f>
        <v>0.0796999999999999886</v>
      </c>
      <c r="D12" s="81">
        <f>C12</f>
        <v>0.0796999999999999886</v>
      </c>
      <c r="E12" s="81">
        <f>D12</f>
        <v>0.0796999999999999886</v>
      </c>
      <c r="F12" s="81">
        <f>E12</f>
        <v>0.0796999999999999886</v>
      </c>
      <c r="G12" s="81">
        <f>F12</f>
        <v>0.0796999999999999886</v>
      </c>
      <c r="H12" s="81">
        <f>G12-($G$12-$M$12)/5</f>
        <v>0.0787599999999999945</v>
      </c>
      <c r="I12" s="81">
        <f>H12-($G$12-$M$12)/5</f>
        <v>0.0778200000000000003</v>
      </c>
      <c r="J12" s="81">
        <f>I12-($G$12-$M$12)/5</f>
        <v>0.0768800000000000061</v>
      </c>
      <c r="K12" s="81">
        <f>J12-($G$12-$M$12)/5</f>
        <v>0.0759399999999999942</v>
      </c>
      <c r="L12" s="81">
        <f>K12-($G$12-$M$12)/5</f>
        <v>0.075</v>
      </c>
      <c r="M12" s="82">
        <f>IF('Input sheet'!B39="Yes",'Input sheet'!B40,'Input sheet'!B28+0.045)</f>
        <v>0.075</v>
      </c>
    </row>
    <row r="13" spans="1:13" ht="15" customHeight="1">
      <c r="A13" s="47" t="s">
        <v>134</v>
      </c>
      <c r="B13" s="80"/>
      <c r="C13" s="133">
        <f>1/(1+C12)</f>
        <v>0.926183199036769089</v>
      </c>
      <c r="D13" s="133">
        <f>C13*(1/(1+D12))</f>
        <v>0.857815318177983954</v>
      </c>
      <c r="E13" s="133">
        <f>D13*(1/(1+E12))</f>
        <v>0.794494135572828952</v>
      </c>
      <c r="F13" s="133">
        <f>E13*(1/(1+F12))</f>
        <v>0.73584712010079496</v>
      </c>
      <c r="G13" s="133">
        <f>F13*(1/(1+G12))</f>
        <v>0.681529239696947986</v>
      </c>
      <c r="H13" s="133">
        <f>G13*(1/(1+H12))</f>
        <v>0.631770958968583063</v>
      </c>
      <c r="I13" s="133">
        <f>H13*(1/(1+I12))</f>
        <v>0.586156277456888031</v>
      </c>
      <c r="J13" s="133">
        <f>I13*(1/(1+J12))</f>
        <v>0.544309744314026034</v>
      </c>
      <c r="K13" s="133">
        <f>J13*(1/(1+K12))</f>
        <v>0.505892284248215951</v>
      </c>
      <c r="L13" s="133">
        <f>K13*(1/(1+L12))</f>
        <v>0.470597473719270987</v>
      </c>
      <c r="M13" s="89"/>
    </row>
    <row r="14" spans="1:13" ht="15" customHeight="1">
      <c r="A14" s="47" t="s">
        <v>135</v>
      </c>
      <c r="B14" s="80"/>
      <c r="C14" s="84">
        <f>C9*C13</f>
        <v>10475.8940009352991</v>
      </c>
      <c r="D14" s="84">
        <f>D9*D13</f>
        <v>12961.5297167336994</v>
      </c>
      <c r="E14" s="84">
        <f>E9*E13</f>
        <v>15726.4367800748005</v>
      </c>
      <c r="F14" s="84">
        <f>F9*F13</f>
        <v>18796.4446797150995</v>
      </c>
      <c r="G14" s="84">
        <f>G9*G13</f>
        <v>22199.5625124157996</v>
      </c>
      <c r="H14" s="84">
        <f>H9*H13</f>
        <v>23817.2136586207998</v>
      </c>
      <c r="I14" s="84">
        <f>I9*I13</f>
        <v>25052.8540892544006</v>
      </c>
      <c r="J14" s="84">
        <f>J9*J13</f>
        <v>25825.0965323464989</v>
      </c>
      <c r="K14" s="84">
        <f>K9*K13</f>
        <v>26075.644993714599</v>
      </c>
      <c r="L14" s="84">
        <f>L9*L13</f>
        <v>25776.0839668096996</v>
      </c>
      <c r="M14" s="89"/>
    </row>
    <row r="15" spans="1:1" ht="15" customHeight="1"/>
    <row r="16" spans="1:2" ht="15" customHeight="1">
      <c r="A16" s="46" t="s">
        <v>136</v>
      </c>
      <c r="B16" s="83">
        <f>M9</f>
        <v>41637.9082704993998</v>
      </c>
    </row>
    <row r="17" spans="1:2" ht="15" customHeight="1">
      <c r="A17" s="46" t="s">
        <v>137</v>
      </c>
      <c r="B17" s="85">
        <f>M12</f>
        <v>0.075</v>
      </c>
    </row>
    <row r="18" spans="1:4">
      <c r="A18" s="46" t="s">
        <v>138</v>
      </c>
      <c r="B18" s="83">
        <f>B16/(B17-M2)</f>
        <v>925286.850455541979</v>
      </c>
      <c r="D18" s="134"/>
    </row>
    <row r="19" spans="1:2">
      <c r="A19" s="46" t="s">
        <v>139</v>
      </c>
      <c r="B19" s="90">
        <f>B18*L13</f>
        <v>435437.654290038976</v>
      </c>
    </row>
    <row r="20" spans="1:2">
      <c r="A20" s="46" t="s">
        <v>140</v>
      </c>
      <c r="B20" s="90">
        <f>SUM(C14:L14)</f>
        <v>206706.760930621007</v>
      </c>
    </row>
    <row r="21" spans="1:2">
      <c r="A21" s="46" t="s">
        <v>141</v>
      </c>
      <c r="B21" s="90">
        <f>B19+B20</f>
        <v>642144.415220660041</v>
      </c>
    </row>
    <row r="22" spans="1:2">
      <c r="A22" s="46" t="s">
        <v>142</v>
      </c>
      <c r="B22" s="91">
        <f>IF('Input sheet'!B45="Yes",'Input sheet'!B46,0)</f>
        <v>0</v>
      </c>
    </row>
    <row r="23" spans="1:2">
      <c r="A23" s="46" t="s">
        <v>143</v>
      </c>
      <c r="B23" s="92">
        <f>IF('Input sheet'!B47="B",('Input sheet'!B11+'Input sheet'!B12)*'Input sheet'!B48,'Valuation output'!B21*'Input sheet'!B48)</f>
        <v>321072.207610330021</v>
      </c>
    </row>
    <row r="24" spans="1:2">
      <c r="A24" s="46" t="s">
        <v>144</v>
      </c>
      <c r="B24" s="83">
        <f>B21*(1-B22)+B23*B22</f>
        <v>642144.415220660041</v>
      </c>
    </row>
    <row r="25" spans="1:2">
      <c r="A25" s="46" t="s">
        <v>145</v>
      </c>
      <c r="B25" s="83">
        <f>IF('Input sheet'!B14="Yes",'Input sheet'!B12+'Operating lease converter'!C28,'Input sheet'!B12)</f>
        <v>45435.198571091998</v>
      </c>
    </row>
    <row r="26" spans="1:2">
      <c r="A26" s="46" t="s">
        <v>146</v>
      </c>
      <c r="B26" s="83">
        <f>'Input sheet'!B17</f>
        <v>0</v>
      </c>
    </row>
    <row r="27" spans="1:2">
      <c r="A27" s="46" t="s">
        <v>147</v>
      </c>
      <c r="B27" s="83">
        <f>IF('Input sheet'!B58="YES",'Input sheet'!B15-'Input sheet'!B59*('Input sheet'!B21-'Input sheet'!B60),'Input sheet'!B15)</f>
        <v>27050</v>
      </c>
    </row>
    <row r="28" spans="1:2">
      <c r="A28" s="46" t="s">
        <v>148</v>
      </c>
      <c r="B28" s="83">
        <f>'Input sheet'!B16</f>
        <v>0</v>
      </c>
    </row>
    <row r="29" spans="1:2">
      <c r="A29" s="46" t="s">
        <v>149</v>
      </c>
      <c r="B29" s="90">
        <f>B24-B25-B26+B27+B28</f>
        <v>623759.216649568058</v>
      </c>
    </row>
    <row r="30" spans="1:2">
      <c r="A30" s="46" t="s">
        <v>150</v>
      </c>
      <c r="B30" s="93">
        <f>IF('Input sheet'!B31="No",0,'Option value'!D27)</f>
        <v>0</v>
      </c>
    </row>
    <row r="31" spans="1:2">
      <c r="A31" s="46" t="s">
        <v>151</v>
      </c>
      <c r="B31" s="90">
        <f>B29-B30</f>
        <v>623759.216649568058</v>
      </c>
    </row>
    <row r="32" spans="1:2">
      <c r="A32" s="46" t="s">
        <v>152</v>
      </c>
      <c r="B32" s="94">
        <f>'Input sheet'!B18</f>
        <v>497</v>
      </c>
    </row>
    <row r="33" spans="1:2">
      <c r="A33" s="46" t="s">
        <v>153</v>
      </c>
      <c r="B33" s="347">
        <f>B31/B32</f>
        <v>1255.04872565305004</v>
      </c>
    </row>
    <row r="34" spans="1:2">
      <c r="A34" s="46" t="s">
        <v>154</v>
      </c>
      <c r="B34" s="83">
        <f>'Input sheet'!B19</f>
        <v>1970.19000000000005</v>
      </c>
    </row>
    <row r="35" spans="1:2">
      <c r="A35" s="46" t="s">
        <v>155</v>
      </c>
      <c r="B35" s="86">
        <f>B34/B33</f>
        <v>1.56981156167848006</v>
      </c>
    </row>
    <row r="37" spans="1:13">
      <c r="A37" s="48" t="s">
        <v>156</v>
      </c>
      <c r="B37" s="80"/>
      <c r="C37" s="89"/>
      <c r="D37" s="89"/>
      <c r="E37" s="89"/>
      <c r="F37" s="89"/>
      <c r="G37" s="89"/>
      <c r="H37" s="89"/>
      <c r="I37" s="89"/>
      <c r="J37" s="89"/>
      <c r="K37" s="89"/>
      <c r="L37" s="89"/>
      <c r="M37" s="89" t="s">
        <v>157</v>
      </c>
    </row>
    <row r="38" spans="1:13">
      <c r="A38" s="46" t="s">
        <v>158</v>
      </c>
      <c r="B38" s="80"/>
      <c r="C38" s="95">
        <f>'Input sheet'!B26</f>
        <v>5.94727818259751029</v>
      </c>
      <c r="D38" s="95">
        <f>C38</f>
        <v>5.94727818259751029</v>
      </c>
      <c r="E38" s="95">
        <f>D38</f>
        <v>5.94727818259751029</v>
      </c>
      <c r="F38" s="95">
        <f>E38</f>
        <v>5.94727818259751029</v>
      </c>
      <c r="G38" s="95">
        <f>F38</f>
        <v>5.94727818259751029</v>
      </c>
      <c r="H38" s="95">
        <f>G38</f>
        <v>5.94727818259751029</v>
      </c>
      <c r="I38" s="95">
        <f>H38</f>
        <v>5.94727818259751029</v>
      </c>
      <c r="J38" s="95">
        <f>I38</f>
        <v>5.94727818259751029</v>
      </c>
      <c r="K38" s="95">
        <f>J38</f>
        <v>5.94727818259751029</v>
      </c>
      <c r="L38" s="95">
        <f>K38</f>
        <v>5.94727818259751029</v>
      </c>
      <c r="M38" s="89"/>
    </row>
    <row r="39" spans="1:13">
      <c r="A39" s="46" t="s">
        <v>159</v>
      </c>
      <c r="B39" s="96">
        <f>IF('Input sheet'!B14="Yes",IF('Input sheet'!B13="Yes",'Input sheet'!B11+'Input sheet'!B12-'Input sheet'!B15+'Operating lease converter'!F33+'R&amp; D converter'!D35,'Input sheet'!B11+'Input sheet'!B12-'Input sheet'!B15+'Operating lease converter'!F33),IF('Input sheet'!B13="Yes",'Input sheet'!B11+'Input sheet'!B12-'Input sheet'!B15+'R&amp; D converter'!D35,'Input sheet'!B11+'Input sheet'!B12-'Input sheet'!B15))</f>
        <v>84042.698571091998</v>
      </c>
      <c r="C39" s="97">
        <f>B39+C8</f>
        <v>89291.948571091998</v>
      </c>
      <c r="D39" s="97">
        <f>C39+D8</f>
        <v>95328.5860710919951</v>
      </c>
      <c r="E39" s="97">
        <f>D39+E8</f>
        <v>102270.719196092003</v>
      </c>
      <c r="F39" s="97">
        <f>E39+F8</f>
        <v>110254.172289841998</v>
      </c>
      <c r="G39" s="97">
        <f>F39+G8</f>
        <v>119435.143347655001</v>
      </c>
      <c r="H39" s="97">
        <f>G39+H8</f>
        <v>128303.961389502001</v>
      </c>
      <c r="I39" s="97">
        <f>H39+I8</f>
        <v>136388.100196979998</v>
      </c>
      <c r="J39" s="97">
        <f>I39+J8</f>
        <v>143200.651523798995</v>
      </c>
      <c r="K39" s="97">
        <f>J39+K8</f>
        <v>148284.910983245005</v>
      </c>
      <c r="L39" s="97">
        <f>K39+L8</f>
        <v>151262.027355609986</v>
      </c>
      <c r="M39" s="89"/>
    </row>
    <row r="40" spans="1:13">
      <c r="A40" s="46" t="s">
        <v>160</v>
      </c>
      <c r="B40" s="85">
        <f>B7/B39</f>
        <v>0.152425890343680015</v>
      </c>
      <c r="C40" s="81">
        <f>C7/C39</f>
        <v>0.185459865282535006</v>
      </c>
      <c r="D40" s="81">
        <f>D7/D39</f>
        <v>0.221828191609903991</v>
      </c>
      <c r="E40" s="81">
        <f>E7/E39</f>
        <v>0.261427807151408009</v>
      </c>
      <c r="F40" s="81">
        <f>F7/F39</f>
        <v>0.30409195389151602</v>
      </c>
      <c r="G40" s="81">
        <f>G7/G39</f>
        <v>0.349596711249634984</v>
      </c>
      <c r="H40" s="81">
        <f>H7/H39</f>
        <v>0.36295017397201299</v>
      </c>
      <c r="I40" s="81">
        <f>I7/I39</f>
        <v>0.372650187977941005</v>
      </c>
      <c r="J40" s="81">
        <f>J7/J39</f>
        <v>0.378895905574470993</v>
      </c>
      <c r="K40" s="81">
        <f>K7/K39</f>
        <v>0.381887319696564997</v>
      </c>
      <c r="L40" s="99">
        <f>L7/L39</f>
        <v>0.381789273387746988</v>
      </c>
      <c r="M40" s="81">
        <f>IF('Input sheet'!B42="Yes",'Input sheet'!B43,'Valuation output'!L12)</f>
        <v>0.1</v>
      </c>
    </row>
  </sheetData>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headerFooter>
    <extLst>
      <ext uri="smNativeData">
        <pm:header xmlns:pm="smNativeData" id="1696577006" l="56" r="56" t="56" b="56" borderId="0" fillId="0" vertical="0"/>
        <pm:footer xmlns:pm="smNativeData" id="1696577006" l="56" r="56" t="56" b="56" borderId="0" fillId="0" vertical="2"/>
      </ext>
    </extLst>
  </headerFooter>
  <drawing r:id="rId1"/>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K43"/>
  <sheetViews>
    <sheetView view="normal" topLeftCell="A5" zoomScale="88" workbookViewId="0">
      <selection activeCell="B18" sqref="B18"/>
    </sheetView>
  </sheetViews>
  <sheetFormatPr baseColWidth="10" defaultColWidth="11.500000" defaultRowHeight="16.60"/>
  <cols>
    <col min="1" max="5" width="50.266667" customWidth="1" style="268"/>
    <col min="6" max="6" width="50.266667" customWidth="1" style="271"/>
    <col min="7" max="7" width="50.266667" customWidth="1" style="268"/>
    <col min="8" max="8" width="17.000000" customWidth="1"/>
  </cols>
  <sheetData>
    <row r="1" spans="1:7">
      <c r="A1" s="358" t="str">
        <f>'Input sheet'!B2</f>
        <v>Amazon</v>
      </c>
      <c r="B1" s="358"/>
      <c r="C1" s="358"/>
      <c r="D1" s="358"/>
      <c r="E1" s="358"/>
      <c r="F1" s="358"/>
      <c r="G1" s="358"/>
    </row>
    <row r="2" spans="1:7">
      <c r="A2" s="359" t="s">
        <v>161</v>
      </c>
      <c r="B2" s="359"/>
      <c r="C2" s="359"/>
      <c r="D2" s="359"/>
      <c r="E2" s="359"/>
      <c r="F2" s="359"/>
      <c r="G2" s="359"/>
    </row>
    <row r="3" spans="1:11" ht="16" customHeight="1">
      <c r="A3" s="367" t="s">
        <v>162</v>
      </c>
      <c r="B3" s="368"/>
      <c r="C3" s="368"/>
      <c r="D3" s="368"/>
      <c r="E3" s="368"/>
      <c r="F3" s="368"/>
      <c r="G3" s="369"/>
      <c r="H3" s="376" t="s">
        <v>163</v>
      </c>
      <c r="I3" s="377"/>
      <c r="J3" s="377"/>
      <c r="K3" s="378"/>
    </row>
    <row r="4" spans="1:11" ht="16" customHeight="1">
      <c r="A4" s="370"/>
      <c r="B4" s="371"/>
      <c r="C4" s="371"/>
      <c r="D4" s="371"/>
      <c r="E4" s="371"/>
      <c r="F4" s="371"/>
      <c r="G4" s="372"/>
      <c r="H4" s="379"/>
      <c r="I4" s="380"/>
      <c r="J4" s="380"/>
      <c r="K4" s="381"/>
    </row>
    <row r="5" spans="1:11" ht="12" customHeight="1">
      <c r="A5" s="370"/>
      <c r="B5" s="371"/>
      <c r="C5" s="371"/>
      <c r="D5" s="371"/>
      <c r="E5" s="371"/>
      <c r="F5" s="371"/>
      <c r="G5" s="372"/>
      <c r="H5" s="379"/>
      <c r="I5" s="380"/>
      <c r="J5" s="380"/>
      <c r="K5" s="381"/>
    </row>
    <row r="6" spans="1:11" ht="32" customHeight="1">
      <c r="A6" s="373"/>
      <c r="B6" s="374"/>
      <c r="C6" s="374"/>
      <c r="D6" s="374"/>
      <c r="E6" s="374"/>
      <c r="F6" s="374"/>
      <c r="G6" s="375"/>
      <c r="H6" s="382"/>
      <c r="I6" s="383"/>
      <c r="J6" s="383"/>
      <c r="K6" s="384"/>
    </row>
    <row r="7" spans="1:7">
      <c r="A7" s="360" t="s">
        <v>164</v>
      </c>
      <c r="B7" s="361"/>
      <c r="C7" s="361"/>
      <c r="D7" s="361"/>
      <c r="E7" s="361"/>
      <c r="F7" s="361"/>
      <c r="G7" s="362"/>
    </row>
    <row r="8" spans="1:7">
      <c r="A8" s="243"/>
      <c r="B8" s="238" t="s">
        <v>165</v>
      </c>
      <c r="C8" s="239" t="s">
        <v>166</v>
      </c>
      <c r="D8" s="238" t="s">
        <v>167</v>
      </c>
      <c r="E8" s="238"/>
      <c r="F8" s="238" t="s">
        <v>157</v>
      </c>
      <c r="G8" s="240" t="s">
        <v>168</v>
      </c>
    </row>
    <row r="9" spans="1:11">
      <c r="A9" s="244" t="s">
        <v>169</v>
      </c>
      <c r="B9" s="245">
        <f>'Valuation output'!B3</f>
        <v>208125</v>
      </c>
      <c r="C9" s="246">
        <f>'Input sheet'!B23</f>
        <v>0.15</v>
      </c>
      <c r="D9" s="246">
        <f>F9</f>
        <v>0.03</v>
      </c>
      <c r="E9" s="247"/>
      <c r="F9" s="246">
        <f>'Valuation output'!M2</f>
        <v>0.03</v>
      </c>
      <c r="G9" s="270" t="s">
        <v>170</v>
      </c>
      <c r="H9" s="385" t="s">
        <v>171</v>
      </c>
      <c r="I9" s="386"/>
      <c r="J9" s="386"/>
      <c r="K9" s="387"/>
    </row>
    <row r="10" spans="1:11">
      <c r="A10" s="244" t="s">
        <v>172</v>
      </c>
      <c r="B10" s="246">
        <f>'Valuation output'!B4</f>
        <v>0.0771362409268030014</v>
      </c>
      <c r="C10" s="248">
        <f>B10</f>
        <v>0.0771362409268030014</v>
      </c>
      <c r="D10" s="249">
        <f>F10</f>
        <v>0.125</v>
      </c>
      <c r="E10" s="249"/>
      <c r="F10" s="246">
        <f>'Valuation output'!M4</f>
        <v>0.125</v>
      </c>
      <c r="G10" s="344" t="s">
        <v>173</v>
      </c>
      <c r="H10" s="388"/>
      <c r="I10" s="389"/>
      <c r="J10" s="389"/>
      <c r="K10" s="390"/>
    </row>
    <row r="11" spans="1:11">
      <c r="A11" s="244" t="s">
        <v>128</v>
      </c>
      <c r="B11" s="246">
        <f>'Valuation output'!B6</f>
        <v>0.202049395691013967</v>
      </c>
      <c r="C11" s="248">
        <f>B11</f>
        <v>0.202049395691013967</v>
      </c>
      <c r="D11" s="249">
        <f>F11</f>
        <v>0.239999999999999991</v>
      </c>
      <c r="E11" s="249"/>
      <c r="F11" s="246">
        <f>'Valuation output'!M6</f>
        <v>0.239999999999999991</v>
      </c>
      <c r="G11" s="273" t="s">
        <v>174</v>
      </c>
      <c r="H11" s="388"/>
      <c r="I11" s="389"/>
      <c r="J11" s="389"/>
      <c r="K11" s="390"/>
    </row>
    <row r="12" spans="1:11">
      <c r="A12" s="244" t="s">
        <v>175</v>
      </c>
      <c r="B12" s="247"/>
      <c r="C12" s="250" t="s">
        <v>176</v>
      </c>
      <c r="D12" s="251">
        <f>'Input sheet'!B26</f>
        <v>5.94727818259751029</v>
      </c>
      <c r="E12" s="252" t="s">
        <v>177</v>
      </c>
      <c r="F12" s="253">
        <f>'Valuation output'!M2/'Valuation output'!M40</f>
        <v>0.3</v>
      </c>
      <c r="G12" s="344" t="s">
        <v>178</v>
      </c>
      <c r="H12" s="388"/>
      <c r="I12" s="389"/>
      <c r="J12" s="389"/>
      <c r="K12" s="390"/>
    </row>
    <row r="13" spans="1:11">
      <c r="A13" s="275" t="s">
        <v>179</v>
      </c>
      <c r="B13" s="279">
        <f>'Valuation output'!B40</f>
        <v>0.152425890343680015</v>
      </c>
      <c r="C13" s="282" t="s">
        <v>180</v>
      </c>
      <c r="D13" s="283">
        <f>Diagnostics!B6</f>
        <v>0.891605909817400999</v>
      </c>
      <c r="E13" s="276"/>
      <c r="F13" s="277">
        <f>'Valuation output'!M40</f>
        <v>0.1</v>
      </c>
      <c r="G13" s="278" t="s">
        <v>181</v>
      </c>
      <c r="H13" s="388"/>
      <c r="I13" s="389"/>
      <c r="J13" s="389"/>
      <c r="K13" s="390"/>
    </row>
    <row r="14" spans="1:11">
      <c r="A14" s="254" t="s">
        <v>182</v>
      </c>
      <c r="B14" s="280"/>
      <c r="C14" s="248">
        <f>'Valuation output'!C12</f>
        <v>0.0796999999999999886</v>
      </c>
      <c r="D14" s="249">
        <f>F14</f>
        <v>0.075</v>
      </c>
      <c r="E14" s="281"/>
      <c r="F14" s="255">
        <f>'Valuation output'!M12</f>
        <v>0.075</v>
      </c>
      <c r="G14" s="274" t="s">
        <v>183</v>
      </c>
      <c r="H14" s="391"/>
      <c r="I14" s="392"/>
      <c r="J14" s="392"/>
      <c r="K14" s="393"/>
    </row>
    <row r="15" spans="1:7">
      <c r="A15" s="363" t="s">
        <v>184</v>
      </c>
      <c r="B15" s="363"/>
      <c r="C15" s="363"/>
      <c r="D15" s="363"/>
      <c r="E15" s="363"/>
      <c r="F15" s="363"/>
      <c r="G15" s="363"/>
    </row>
    <row r="16" spans="1:11">
      <c r="A16" s="237"/>
      <c r="B16" s="241" t="s">
        <v>38</v>
      </c>
      <c r="C16" s="241" t="s">
        <v>185</v>
      </c>
      <c r="D16" s="241" t="s">
        <v>186</v>
      </c>
      <c r="E16" s="241" t="s">
        <v>187</v>
      </c>
      <c r="F16" s="241" t="s">
        <v>188</v>
      </c>
      <c r="G16" s="285" t="s">
        <v>131</v>
      </c>
      <c r="H16" s="394" t="s">
        <v>189</v>
      </c>
      <c r="I16" s="395"/>
      <c r="J16" s="395"/>
      <c r="K16" s="396"/>
    </row>
    <row r="17" spans="1:11">
      <c r="A17" s="256" t="n">
        <v>1</v>
      </c>
      <c r="B17" s="257">
        <f>'Valuation output'!C3</f>
        <v>239343.75</v>
      </c>
      <c r="C17" s="258">
        <f>'Valuation output'!C4</f>
        <v>0.0867089927414439998</v>
      </c>
      <c r="D17" s="245">
        <f>B17*C17</f>
        <v>20753.2554814600007</v>
      </c>
      <c r="E17" s="257">
        <f>'Valuation output'!C7</f>
        <v>16560.0727528097996</v>
      </c>
      <c r="F17" s="257">
        <f>'Valuation output'!C8</f>
        <v>5249.25</v>
      </c>
      <c r="G17" s="286">
        <f>E17-F17</f>
        <v>11310.8227528097996</v>
      </c>
      <c r="H17" s="397"/>
      <c r="I17" s="398"/>
      <c r="J17" s="398"/>
      <c r="K17" s="399"/>
    </row>
    <row r="18" spans="1:11">
      <c r="A18" s="256" t="n">
        <v>2</v>
      </c>
      <c r="B18" s="257">
        <f>'Valuation output'!D3</f>
        <v>275245.3125</v>
      </c>
      <c r="C18" s="258">
        <f>'Valuation output'!D4</f>
        <v>0.0962817445560830087</v>
      </c>
      <c r="D18" s="245">
        <f>B18*C18</f>
        <v>26501.0988683842006</v>
      </c>
      <c r="E18" s="257">
        <f>'Valuation output'!D7</f>
        <v>21146.5678568793992</v>
      </c>
      <c r="F18" s="257">
        <f>'Valuation output'!D8</f>
        <v>6036.63749999999982</v>
      </c>
      <c r="G18" s="286">
        <f>E18-F18</f>
        <v>15109.9303568794003</v>
      </c>
      <c r="H18" s="397"/>
      <c r="I18" s="398"/>
      <c r="J18" s="398"/>
      <c r="K18" s="399"/>
    </row>
    <row r="19" spans="1:11">
      <c r="A19" s="256" t="n">
        <v>3</v>
      </c>
      <c r="B19" s="257">
        <f>'Valuation output'!E3</f>
        <v>316532.109375</v>
      </c>
      <c r="C19" s="258">
        <f>'Valuation output'!E4</f>
        <v>0.105854496370721995</v>
      </c>
      <c r="D19" s="245">
        <f>B19*C19</f>
        <v>33506.3470230528983</v>
      </c>
      <c r="E19" s="257">
        <f>'Valuation output'!E7</f>
        <v>26736.4098552317009</v>
      </c>
      <c r="F19" s="257">
        <f>'Valuation output'!E8</f>
        <v>6942.13312500000029</v>
      </c>
      <c r="G19" s="286">
        <f>E19-F19</f>
        <v>19794.2767302317006</v>
      </c>
      <c r="H19" s="397"/>
      <c r="I19" s="398"/>
      <c r="J19" s="398"/>
      <c r="K19" s="399"/>
    </row>
    <row r="20" spans="1:11">
      <c r="A20" s="256" t="n">
        <v>4</v>
      </c>
      <c r="B20" s="257">
        <f>'Valuation output'!F3</f>
        <v>364011.92578125</v>
      </c>
      <c r="C20" s="258">
        <f>'Valuation output'!F4</f>
        <v>0.115427248185361009</v>
      </c>
      <c r="D20" s="245">
        <f>B20*C20</f>
        <v>42016.8948995836035</v>
      </c>
      <c r="E20" s="257">
        <f>'Valuation output'!F7</f>
        <v>33527.4066763099036</v>
      </c>
      <c r="F20" s="257">
        <f>'Valuation output'!F8</f>
        <v>7983.45309375001034</v>
      </c>
      <c r="G20" s="286">
        <f>E20-F20</f>
        <v>25543.9535825599014</v>
      </c>
      <c r="H20" s="397"/>
      <c r="I20" s="398"/>
      <c r="J20" s="398"/>
      <c r="K20" s="399"/>
    </row>
    <row r="21" spans="1:11">
      <c r="A21" s="256" t="n">
        <v>5</v>
      </c>
      <c r="B21" s="257">
        <f>'Valuation output'!G3</f>
        <v>418613.714648437977</v>
      </c>
      <c r="C21" s="258">
        <f>'Valuation output'!G4</f>
        <v>0.125</v>
      </c>
      <c r="D21" s="245">
        <f>B21*C21</f>
        <v>52326.7143310547981</v>
      </c>
      <c r="E21" s="257">
        <f>'Valuation output'!G7</f>
        <v>41754.1333219688968</v>
      </c>
      <c r="F21" s="257">
        <f>'Valuation output'!G8</f>
        <v>9180.97105781259052</v>
      </c>
      <c r="G21" s="286">
        <f>E21-F21</f>
        <v>32573.1622641563008</v>
      </c>
      <c r="H21" s="397"/>
      <c r="I21" s="398"/>
      <c r="J21" s="398"/>
      <c r="K21" s="399"/>
    </row>
    <row r="22" spans="1:11">
      <c r="A22" s="256" t="n">
        <v>6</v>
      </c>
      <c r="B22" s="257">
        <f>'Valuation output'!H3</f>
        <v>471359.042694140982</v>
      </c>
      <c r="C22" s="258">
        <f>'Valuation output'!H4</f>
        <v>0.125</v>
      </c>
      <c r="D22" s="245">
        <f>B22*C22</f>
        <v>58919.880336767601</v>
      </c>
      <c r="E22" s="257">
        <f>'Valuation output'!H7</f>
        <v>46567.9451076182013</v>
      </c>
      <c r="F22" s="257">
        <f>'Valuation output'!H8</f>
        <v>8868.81804184686007</v>
      </c>
      <c r="G22" s="286">
        <f>E22-F22</f>
        <v>37699.127065771303</v>
      </c>
      <c r="H22" s="397"/>
      <c r="I22" s="398"/>
      <c r="J22" s="398"/>
      <c r="K22" s="399"/>
    </row>
    <row r="23" spans="1:11">
      <c r="A23" s="256" t="n">
        <v>7</v>
      </c>
      <c r="B23" s="257">
        <f>'Valuation output'!I3</f>
        <v>519437.665048943018</v>
      </c>
      <c r="C23" s="258">
        <f>'Valuation output'!I4</f>
        <v>0.125</v>
      </c>
      <c r="D23" s="245">
        <f>B23*C23</f>
        <v>64929.708131117899</v>
      </c>
      <c r="E23" s="257">
        <f>'Valuation output'!I7</f>
        <v>50825.0511763588001</v>
      </c>
      <c r="F23" s="257">
        <f>'Valuation output'!I8</f>
        <v>8084.13880747769963</v>
      </c>
      <c r="G23" s="286">
        <f>E23-F23</f>
        <v>42740.9123688811014</v>
      </c>
      <c r="H23" s="397"/>
      <c r="I23" s="398"/>
      <c r="J23" s="398"/>
      <c r="K23" s="399"/>
    </row>
    <row r="24" spans="1:11">
      <c r="A24" s="256" t="n">
        <v>8</v>
      </c>
      <c r="B24" s="257">
        <f>'Valuation output'!J3</f>
        <v>559953.802922760951</v>
      </c>
      <c r="C24" s="258">
        <f>'Valuation output'!J4</f>
        <v>0.125</v>
      </c>
      <c r="D24" s="245">
        <f>B24*C24</f>
        <v>69994.2253653451044</v>
      </c>
      <c r="E24" s="257">
        <f>'Valuation output'!J7</f>
        <v>54258.1405379639982</v>
      </c>
      <c r="F24" s="257">
        <f>'Valuation output'!J8</f>
        <v>6812.55132681925988</v>
      </c>
      <c r="G24" s="286">
        <f>E24-F24</f>
        <v>47445.5892111447029</v>
      </c>
      <c r="H24" s="397"/>
      <c r="I24" s="398"/>
      <c r="J24" s="398"/>
      <c r="K24" s="399"/>
    </row>
    <row r="25" spans="1:11">
      <c r="A25" s="256" t="n">
        <v>9</v>
      </c>
      <c r="B25" s="257">
        <f>'Valuation output'!K3</f>
        <v>590191.30828058999</v>
      </c>
      <c r="C25" s="258">
        <f>'Valuation output'!K4</f>
        <v>0.125</v>
      </c>
      <c r="D25" s="245">
        <f>B25*C25</f>
        <v>73773.913535073807</v>
      </c>
      <c r="E25" s="257">
        <f>'Valuation output'!K7</f>
        <v>56628.1272068351027</v>
      </c>
      <c r="F25" s="257">
        <f>'Valuation output'!K8</f>
        <v>5084.25945944612977</v>
      </c>
      <c r="G25" s="286">
        <f>E25-F25</f>
        <v>51543.8677473889984</v>
      </c>
      <c r="H25" s="397"/>
      <c r="I25" s="398"/>
      <c r="J25" s="398"/>
      <c r="K25" s="399"/>
    </row>
    <row r="26" spans="1:11">
      <c r="A26" s="256" t="n">
        <v>10</v>
      </c>
      <c r="B26" s="257">
        <f>'Valuation output'!L3</f>
        <v>607897.047529008007</v>
      </c>
      <c r="C26" s="258">
        <f>'Valuation output'!L4</f>
        <v>0.125</v>
      </c>
      <c r="D26" s="245">
        <f>B26*C26</f>
        <v>75987.1309411260008</v>
      </c>
      <c r="E26" s="257">
        <f>'Valuation output'!L7</f>
        <v>57750.2195152557979</v>
      </c>
      <c r="F26" s="257">
        <f>'Valuation output'!L8</f>
        <v>2977.11637236463002</v>
      </c>
      <c r="G26" s="286">
        <f>E26-F26</f>
        <v>54773.1031428912029</v>
      </c>
      <c r="H26" s="397"/>
      <c r="I26" s="398"/>
      <c r="J26" s="398"/>
      <c r="K26" s="399"/>
    </row>
    <row r="27" spans="1:11">
      <c r="A27" s="259" t="s">
        <v>124</v>
      </c>
      <c r="B27" s="260">
        <f>'Valuation output'!M3</f>
        <v>626133.958954878035</v>
      </c>
      <c r="C27" s="261">
        <f>'Valuation output'!M4</f>
        <v>0.125</v>
      </c>
      <c r="D27" s="245">
        <f>B27*C27</f>
        <v>78266.744869359798</v>
      </c>
      <c r="E27" s="260">
        <f>'Valuation output'!M7</f>
        <v>59482.7261007135021</v>
      </c>
      <c r="F27" s="260">
        <f>'Valuation output'!M8</f>
        <v>17844.8178302140986</v>
      </c>
      <c r="G27" s="286">
        <f>E27-F27</f>
        <v>41637.9082704993998</v>
      </c>
      <c r="H27" s="400"/>
      <c r="I27" s="401"/>
      <c r="J27" s="401"/>
      <c r="K27" s="402"/>
    </row>
    <row r="28" spans="1:7">
      <c r="A28" s="363" t="s">
        <v>190</v>
      </c>
      <c r="B28" s="363"/>
      <c r="C28" s="363"/>
      <c r="D28" s="363"/>
      <c r="E28" s="363"/>
      <c r="F28" s="363"/>
      <c r="G28" s="363"/>
    </row>
    <row r="29" spans="1:11">
      <c r="A29" s="364" t="s">
        <v>191</v>
      </c>
      <c r="B29" s="365"/>
      <c r="C29" s="366"/>
      <c r="D29" s="262">
        <f>'Valuation output'!B18</f>
        <v>925286.850455541979</v>
      </c>
      <c r="E29" s="263"/>
      <c r="F29" s="264"/>
      <c r="G29" s="265"/>
      <c r="H29" s="403" t="s">
        <v>192</v>
      </c>
      <c r="I29" s="389"/>
      <c r="J29" s="389"/>
      <c r="K29" s="389"/>
    </row>
    <row r="30" spans="1:11">
      <c r="A30" s="356" t="s">
        <v>193</v>
      </c>
      <c r="B30" s="270"/>
      <c r="C30" s="357"/>
      <c r="D30" s="266">
        <f>'Valuation output'!B19</f>
        <v>435437.654290038976</v>
      </c>
      <c r="E30" s="267"/>
      <c r="F30" s="268"/>
      <c r="G30" s="269"/>
      <c r="H30" s="403"/>
      <c r="I30" s="389"/>
      <c r="J30" s="389"/>
      <c r="K30" s="389"/>
    </row>
    <row r="31" spans="1:11">
      <c r="A31" s="356" t="s">
        <v>140</v>
      </c>
      <c r="B31" s="270"/>
      <c r="C31" s="357"/>
      <c r="D31" s="266">
        <f>'Valuation output'!B20</f>
        <v>206706.760930621007</v>
      </c>
      <c r="E31" s="267"/>
      <c r="F31" s="268"/>
      <c r="G31" s="269"/>
      <c r="H31" s="403"/>
      <c r="I31" s="389"/>
      <c r="J31" s="389"/>
      <c r="K31" s="389"/>
    </row>
    <row r="32" spans="1:11">
      <c r="A32" s="356" t="s">
        <v>144</v>
      </c>
      <c r="B32" s="270"/>
      <c r="C32" s="357"/>
      <c r="D32" s="266">
        <f>'Valuation output'!B21</f>
        <v>642144.415220660041</v>
      </c>
      <c r="E32" s="267"/>
      <c r="F32" s="268"/>
      <c r="G32" s="269"/>
      <c r="H32" s="403"/>
      <c r="I32" s="389"/>
      <c r="J32" s="389"/>
      <c r="K32" s="389"/>
    </row>
    <row r="33" spans="1:11">
      <c r="A33" s="356" t="s">
        <v>194</v>
      </c>
      <c r="B33" s="270"/>
      <c r="C33" s="357"/>
      <c r="D33" s="287">
        <f>D32-'Valuation output'!B24</f>
        <v>0</v>
      </c>
      <c r="E33" s="404" t="s">
        <v>142</v>
      </c>
      <c r="F33" s="405"/>
      <c r="G33" s="288">
        <f>'Valuation output'!B22</f>
        <v>0</v>
      </c>
      <c r="H33" s="389"/>
      <c r="I33" s="389"/>
      <c r="J33" s="389"/>
      <c r="K33" s="389"/>
    </row>
    <row r="34" spans="1:11">
      <c r="A34" s="356" t="s">
        <v>195</v>
      </c>
      <c r="B34" s="270"/>
      <c r="C34" s="357"/>
      <c r="D34" s="266">
        <f>'Valuation output'!B25+'Valuation output'!B26</f>
        <v>45435.198571091998</v>
      </c>
      <c r="E34" s="267"/>
      <c r="F34" s="268"/>
      <c r="G34" s="269"/>
      <c r="H34" s="403"/>
      <c r="I34" s="389"/>
      <c r="J34" s="389"/>
      <c r="K34" s="389"/>
    </row>
    <row r="35" spans="1:11">
      <c r="A35" s="356" t="s">
        <v>196</v>
      </c>
      <c r="B35" s="270"/>
      <c r="C35" s="357"/>
      <c r="D35" s="266">
        <f>'Valuation output'!B27+'Valuation output'!B28</f>
        <v>27050</v>
      </c>
      <c r="E35" s="267"/>
      <c r="F35" s="268"/>
      <c r="G35" s="269"/>
      <c r="H35" s="403"/>
      <c r="I35" s="389"/>
      <c r="J35" s="389"/>
      <c r="K35" s="389"/>
    </row>
    <row r="36" spans="1:11">
      <c r="A36" s="356" t="s">
        <v>149</v>
      </c>
      <c r="B36" s="270"/>
      <c r="C36" s="357"/>
      <c r="D36" s="266">
        <f>D32-D33-D34+D35</f>
        <v>623759.216649568058</v>
      </c>
      <c r="E36" s="267"/>
      <c r="F36" s="268"/>
      <c r="G36" s="269"/>
      <c r="H36" s="403"/>
      <c r="I36" s="389"/>
      <c r="J36" s="389"/>
      <c r="K36" s="389"/>
    </row>
    <row r="37" spans="1:11">
      <c r="A37" s="356" t="s">
        <v>197</v>
      </c>
      <c r="B37" s="270"/>
      <c r="C37" s="357"/>
      <c r="D37" s="266">
        <f>'Valuation output'!B30</f>
        <v>0</v>
      </c>
      <c r="E37" s="267"/>
      <c r="F37" s="268"/>
      <c r="G37" s="269"/>
      <c r="H37" s="403"/>
      <c r="I37" s="389"/>
      <c r="J37" s="389"/>
      <c r="K37" s="389"/>
    </row>
    <row r="38" spans="1:11">
      <c r="A38" s="406" t="s">
        <v>198</v>
      </c>
      <c r="B38" s="322"/>
      <c r="C38" s="322"/>
      <c r="D38" s="272">
        <f>'Valuation output'!B32</f>
        <v>497</v>
      </c>
      <c r="G38" s="269"/>
      <c r="H38" s="403"/>
      <c r="I38" s="389"/>
      <c r="J38" s="389"/>
      <c r="K38" s="389"/>
    </row>
    <row r="39" spans="1:11">
      <c r="A39" s="407" t="s">
        <v>199</v>
      </c>
      <c r="B39" s="408"/>
      <c r="C39" s="408"/>
      <c r="D39" s="242">
        <f>(D36-D37)/D38</f>
        <v>1255.04872565305004</v>
      </c>
      <c r="E39" s="409" t="s">
        <v>200</v>
      </c>
      <c r="F39" s="410"/>
      <c r="G39" s="284">
        <f>'Input sheet'!B19</f>
        <v>1970.19000000000005</v>
      </c>
      <c r="H39" s="403"/>
      <c r="I39" s="389"/>
      <c r="J39" s="389"/>
      <c r="K39" s="389"/>
    </row>
    <row r="43" spans="10:10">
      <c r="J43" s="305">
        <f>D39/1944</f>
        <v>0.645601196323585036</v>
      </c>
    </row>
  </sheetData>
  <mergeCells count="23">
    <mergeCell ref="A1:G1"/>
    <mergeCell ref="A2:G2"/>
    <mergeCell ref="A3:G6"/>
    <mergeCell ref="H3:K6"/>
    <mergeCell ref="A7:G7"/>
    <mergeCell ref="H9:K14"/>
    <mergeCell ref="A15:G15"/>
    <mergeCell ref="H16:K27"/>
    <mergeCell ref="A28:G28"/>
    <mergeCell ref="A29:C29"/>
    <mergeCell ref="H29:K39"/>
    <mergeCell ref="A30:C30"/>
    <mergeCell ref="A31:C31"/>
    <mergeCell ref="A32:C32"/>
    <mergeCell ref="A33:C33"/>
    <mergeCell ref="E33:F33"/>
    <mergeCell ref="A34:C34"/>
    <mergeCell ref="A35:C35"/>
    <mergeCell ref="A36:C36"/>
    <mergeCell ref="A37:C37"/>
    <mergeCell ref="A38:C38"/>
    <mergeCell ref="A39:C39"/>
    <mergeCell ref="E39:F39"/>
  </mergeCells>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300000" footer="0.300000"/>
  <pageSetup paperSize="1" fitToWidth="0" fitToHeight="1"/>
  <headerFooter>
    <extLst>
      <ext uri="smNativeData">
        <pm:header xmlns:pm="smNativeData" id="1696577006" l="56" r="56" t="56" b="56" borderId="0" fillId="0" vertical="0"/>
        <pm:footer xmlns:pm="smNativeData" id="1696577006" l="56" r="56" t="56" b="56" borderId="0" fillId="0" vertical="2"/>
      </ext>
    </extLst>
  </headerFooter>
  <drawing r:id="rId1"/>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H50"/>
  <sheetViews>
    <sheetView view="normal" topLeftCell="A14" workbookViewId="0">
      <selection activeCell="J47" sqref="J47"/>
    </sheetView>
  </sheetViews>
  <sheetFormatPr baseColWidth="10" defaultColWidth="11.500000" defaultRowHeight="11.50"/>
  <cols>
    <col min="1" max="1" width="22.800000" customWidth="1"/>
    <col min="2" max="2" width="18.166667" customWidth="1"/>
    <col min="3" max="3" width="11.311111" customWidth="1"/>
    <col min="4" max="4" width="11.333333" customWidth="1"/>
    <col min="5" max="6" width="12.333333" customWidth="1"/>
    <col min="7" max="7" width="12.322222" customWidth="1"/>
    <col min="8" max="256" width="10.000000" customWidth="1"/>
  </cols>
  <sheetData>
    <row r="1" spans="1:8" s="298" customFormat="1" ht="13">
      <c r="A1" s="297" t="s">
        <v>201</v>
      </c>
      <c r="B1" s="297" t="s">
        <v>38</v>
      </c>
      <c r="C1" s="297" t="s">
        <v>202</v>
      </c>
      <c r="D1" s="297" t="s">
        <v>203</v>
      </c>
      <c r="E1" s="297" t="s">
        <v>204</v>
      </c>
      <c r="F1" s="297" t="s">
        <v>132</v>
      </c>
      <c r="G1" s="297" t="s">
        <v>205</v>
      </c>
      <c r="H1" s="297" t="s">
        <v>206</v>
      </c>
    </row>
    <row r="2" spans="1:8" s="298" customFormat="1" ht="13">
      <c r="A2" s="298" t="s">
        <v>207</v>
      </c>
      <c r="B2" s="299">
        <f>'Valuation output'!B3</f>
        <v>208125</v>
      </c>
      <c r="D2" s="300">
        <f>'Valuation output'!B4</f>
        <v>0.0771362409268030014</v>
      </c>
      <c r="E2" s="299">
        <f>B2*D2</f>
        <v>16053.9801428908995</v>
      </c>
      <c r="F2" s="299">
        <f>'Valuation output'!B10</f>
        <v>0</v>
      </c>
      <c r="G2" s="299">
        <f>E2-H2</f>
        <v>3243.69698630670018</v>
      </c>
      <c r="H2" s="299">
        <f>'Valuation output'!B7</f>
        <v>12810.2831565842007</v>
      </c>
    </row>
    <row r="3" spans="1:8" s="298" customFormat="1" ht="13">
      <c r="A3" s="298" t="n">
        <v>1</v>
      </c>
      <c r="B3" s="299">
        <f>'Valuation output'!C3</f>
        <v>239343.75</v>
      </c>
      <c r="C3" s="300">
        <f>'Valuation output'!C2</f>
        <v>0.15</v>
      </c>
      <c r="D3" s="300">
        <f>'Valuation output'!C4</f>
        <v>0.0867089927414439998</v>
      </c>
      <c r="E3" s="299">
        <f>B3*D3</f>
        <v>20753.2554814600007</v>
      </c>
      <c r="F3" s="299">
        <f>'Valuation output'!C10</f>
        <v>0</v>
      </c>
      <c r="G3" s="299">
        <f>E3-H3</f>
        <v>4193.18272865020026</v>
      </c>
      <c r="H3" s="299">
        <f>'Valuation output'!C7</f>
        <v>16560.0727528097996</v>
      </c>
    </row>
    <row r="4" spans="1:8" s="298" customFormat="1" ht="13">
      <c r="A4" s="298" t="n">
        <v>2</v>
      </c>
      <c r="B4" s="299">
        <f>'Valuation output'!D3</f>
        <v>275245.3125</v>
      </c>
      <c r="C4" s="300">
        <f>B4/B3-1</f>
        <v>0.15</v>
      </c>
      <c r="D4" s="300">
        <f>'Valuation output'!D4</f>
        <v>0.0962817445560830087</v>
      </c>
      <c r="E4" s="299">
        <f>B4*D4</f>
        <v>26501.0988683842006</v>
      </c>
      <c r="F4" s="299">
        <f>'Valuation output'!D10</f>
        <v>0</v>
      </c>
      <c r="G4" s="299">
        <f>E4-H4</f>
        <v>5354.53101150479961</v>
      </c>
      <c r="H4" s="299">
        <f>'Valuation output'!D7</f>
        <v>21146.5678568793992</v>
      </c>
    </row>
    <row r="5" spans="1:8" s="298" customFormat="1" ht="13">
      <c r="A5" s="298" t="n">
        <v>3</v>
      </c>
      <c r="B5" s="299">
        <f>'Valuation output'!E3</f>
        <v>316532.109375</v>
      </c>
      <c r="C5" s="300">
        <f>B5/B4-1</f>
        <v>0.15</v>
      </c>
      <c r="D5" s="300">
        <f>'Valuation output'!E4</f>
        <v>0.105854496370721995</v>
      </c>
      <c r="E5" s="299">
        <f>B5*D5</f>
        <v>33506.3470230528983</v>
      </c>
      <c r="F5" s="299">
        <f>'Valuation output'!E10</f>
        <v>0</v>
      </c>
      <c r="G5" s="299">
        <f>E5-H5</f>
        <v>6769.93716782120009</v>
      </c>
      <c r="H5" s="299">
        <f>'Valuation output'!E7</f>
        <v>26736.4098552317009</v>
      </c>
    </row>
    <row r="6" spans="1:8" s="298" customFormat="1" ht="13">
      <c r="A6" s="298" t="n">
        <v>4</v>
      </c>
      <c r="B6" s="299">
        <f>'Valuation output'!F3</f>
        <v>364011.92578125</v>
      </c>
      <c r="C6" s="300">
        <f>B6/B5-1</f>
        <v>0.15</v>
      </c>
      <c r="D6" s="300">
        <f>'Valuation output'!F4</f>
        <v>0.115427248185361009</v>
      </c>
      <c r="E6" s="299">
        <f>B6*D6</f>
        <v>42016.8948995836035</v>
      </c>
      <c r="F6" s="299">
        <f>'Valuation output'!F10</f>
        <v>0</v>
      </c>
      <c r="G6" s="299">
        <f>E6-H6</f>
        <v>8489.48822327369999</v>
      </c>
      <c r="H6" s="299">
        <f>'Valuation output'!F7</f>
        <v>33527.4066763099036</v>
      </c>
    </row>
    <row r="7" spans="1:8" s="298" customFormat="1" ht="13">
      <c r="A7" s="298" t="n">
        <v>5</v>
      </c>
      <c r="B7" s="299">
        <f>'Valuation output'!G3</f>
        <v>418613.714648437977</v>
      </c>
      <c r="C7" s="300">
        <f>B7/B6-1</f>
        <v>0.15</v>
      </c>
      <c r="D7" s="300">
        <f>'Valuation output'!G4</f>
        <v>0.125</v>
      </c>
      <c r="E7" s="299">
        <f>B7*D7</f>
        <v>52326.7143310547981</v>
      </c>
      <c r="F7" s="299">
        <f>'Valuation output'!G10</f>
        <v>0</v>
      </c>
      <c r="G7" s="299">
        <f>E7-H7</f>
        <v>10572.5810090858995</v>
      </c>
      <c r="H7" s="299">
        <f>'Valuation output'!G7</f>
        <v>41754.1333219688968</v>
      </c>
    </row>
    <row r="8" spans="1:8" s="298" customFormat="1" ht="13">
      <c r="A8" s="298" t="n">
        <v>6</v>
      </c>
      <c r="B8" s="299">
        <f>'Valuation output'!H3</f>
        <v>471359.042694140982</v>
      </c>
      <c r="C8" s="300">
        <f>B8/B7-1</f>
        <v>0.126000000000000001</v>
      </c>
      <c r="D8" s="300">
        <f>'Valuation output'!H4</f>
        <v>0.125</v>
      </c>
      <c r="E8" s="299">
        <f>B8*D8</f>
        <v>58919.880336767601</v>
      </c>
      <c r="F8" s="299">
        <f>'Valuation output'!H10</f>
        <v>0</v>
      </c>
      <c r="G8" s="299">
        <f>E8-H8</f>
        <v>12351.9352291493997</v>
      </c>
      <c r="H8" s="299">
        <f>'Valuation output'!H7</f>
        <v>46567.9451076182013</v>
      </c>
    </row>
    <row r="9" spans="1:8" s="298" customFormat="1" ht="13">
      <c r="A9" s="298" t="n">
        <v>7</v>
      </c>
      <c r="B9" s="299">
        <f>'Valuation output'!I3</f>
        <v>519437.665048943018</v>
      </c>
      <c r="C9" s="300">
        <f>B9/B8-1</f>
        <v>0.102000000000000002</v>
      </c>
      <c r="D9" s="300">
        <f>'Valuation output'!I4</f>
        <v>0.125</v>
      </c>
      <c r="E9" s="299">
        <f>B9*D9</f>
        <v>64929.708131117899</v>
      </c>
      <c r="F9" s="299">
        <f>'Valuation output'!I10</f>
        <v>0</v>
      </c>
      <c r="G9" s="299">
        <f>E9-H9</f>
        <v>14104.6569547591007</v>
      </c>
      <c r="H9" s="299">
        <f>'Valuation output'!I7</f>
        <v>50825.0511763588001</v>
      </c>
    </row>
    <row r="10" spans="1:8" s="298" customFormat="1" ht="13">
      <c r="A10" s="298" t="n">
        <v>8</v>
      </c>
      <c r="B10" s="299">
        <f>'Valuation output'!J3</f>
        <v>559953.802922760951</v>
      </c>
      <c r="C10" s="300">
        <f>B10/B9-1</f>
        <v>0.0780000000000000071</v>
      </c>
      <c r="D10" s="300">
        <f>'Valuation output'!J4</f>
        <v>0.125</v>
      </c>
      <c r="E10" s="299">
        <f>B10*D10</f>
        <v>69994.2253653451044</v>
      </c>
      <c r="F10" s="299">
        <f>'Valuation output'!J10</f>
        <v>0</v>
      </c>
      <c r="G10" s="299">
        <f>E10-H10</f>
        <v>15736.0848273811007</v>
      </c>
      <c r="H10" s="299">
        <f>'Valuation output'!J7</f>
        <v>54258.1405379639982</v>
      </c>
    </row>
    <row r="11" spans="1:8" s="298" customFormat="1" ht="13">
      <c r="A11" s="298" t="n">
        <v>9</v>
      </c>
      <c r="B11" s="299">
        <f>'Valuation output'!K3</f>
        <v>590191.30828058999</v>
      </c>
      <c r="C11" s="300">
        <f>B11/B10-1</f>
        <v>0.0540000000000000036</v>
      </c>
      <c r="D11" s="300">
        <f>'Valuation output'!K4</f>
        <v>0.125</v>
      </c>
      <c r="E11" s="299">
        <f>B11*D11</f>
        <v>73773.913535073807</v>
      </c>
      <c r="F11" s="299">
        <f>'Valuation output'!K10</f>
        <v>0</v>
      </c>
      <c r="G11" s="299">
        <f>E11-H11</f>
        <v>17145.7863282387007</v>
      </c>
      <c r="H11" s="299">
        <f>'Valuation output'!K7</f>
        <v>56628.1272068351027</v>
      </c>
    </row>
    <row r="12" spans="1:8" s="298" customFormat="1" ht="13">
      <c r="A12" s="298" t="n">
        <v>10</v>
      </c>
      <c r="B12" s="299">
        <f>'Valuation output'!L3</f>
        <v>607897.047529008007</v>
      </c>
      <c r="C12" s="300">
        <f>B12/B11-1</f>
        <v>0.03</v>
      </c>
      <c r="D12" s="300">
        <f>'Valuation output'!L4</f>
        <v>0.125</v>
      </c>
      <c r="E12" s="299">
        <f>B12*D12</f>
        <v>75987.1309411260008</v>
      </c>
      <c r="F12" s="299">
        <f>'Valuation output'!L10</f>
        <v>0</v>
      </c>
      <c r="G12" s="299">
        <f>E12-H12</f>
        <v>18236.9114258701993</v>
      </c>
      <c r="H12" s="299">
        <f>'Valuation output'!L7</f>
        <v>57750.2195152557979</v>
      </c>
    </row>
    <row r="13" spans="1:1" s="298" customFormat="1" ht="13"/>
    <row r="14" spans="1:8" s="298" customFormat="1" ht="13">
      <c r="A14" s="297" t="s">
        <v>201</v>
      </c>
      <c r="B14" s="297" t="s">
        <v>206</v>
      </c>
      <c r="C14" s="297" t="s">
        <v>208</v>
      </c>
      <c r="D14" s="297" t="s">
        <v>209</v>
      </c>
      <c r="E14" s="297" t="s">
        <v>210</v>
      </c>
      <c r="F14" s="297" t="s">
        <v>131</v>
      </c>
      <c r="G14" s="297" t="s">
        <v>211</v>
      </c>
      <c r="H14" s="297" t="s">
        <v>212</v>
      </c>
    </row>
    <row r="15" spans="1:8" s="298" customFormat="1" ht="13">
      <c r="A15" s="298" t="str">
        <f>A2</f>
        <v>Traling 12 month</v>
      </c>
      <c r="B15" s="299">
        <f>H2</f>
        <v>12810.2831565842007</v>
      </c>
      <c r="G15" s="303">
        <f>'Valuation output'!B39</f>
        <v>84042.698571091998</v>
      </c>
      <c r="H15" s="304">
        <f>B15/G15</f>
        <v>0.152425890343680015</v>
      </c>
    </row>
    <row r="16" spans="1:8" s="298" customFormat="1" ht="13">
      <c r="A16" s="298">
        <f>A3</f>
        <v>1</v>
      </c>
      <c r="B16" s="299">
        <f>H3</f>
        <v>16560.0727528097996</v>
      </c>
      <c r="C16" s="299">
        <f>B3-B2</f>
        <v>31218.75</v>
      </c>
      <c r="D16" s="302">
        <f>'Valuation output'!C38</f>
        <v>5.94727818259751029</v>
      </c>
      <c r="E16" s="299">
        <f>C16/D16</f>
        <v>5249.25</v>
      </c>
      <c r="F16" s="299">
        <f>B16-E16</f>
        <v>11310.8227528097996</v>
      </c>
      <c r="G16" s="299">
        <f>G15+E16</f>
        <v>89291.948571091998</v>
      </c>
      <c r="H16" s="304">
        <f>B16/G16</f>
        <v>0.185459865282535006</v>
      </c>
    </row>
    <row r="17" spans="1:8" s="298" customFormat="1" ht="13">
      <c r="A17" s="298">
        <f>A4</f>
        <v>2</v>
      </c>
      <c r="B17" s="299">
        <f>H4</f>
        <v>21146.5678568793992</v>
      </c>
      <c r="C17" s="299">
        <f>B4-B3</f>
        <v>35901.5625</v>
      </c>
      <c r="D17" s="302">
        <f>'Valuation output'!D38</f>
        <v>5.94727818259751029</v>
      </c>
      <c r="E17" s="299">
        <f>C17/D17</f>
        <v>6036.63749999999982</v>
      </c>
      <c r="F17" s="299">
        <f>B17-E17</f>
        <v>15109.9303568794003</v>
      </c>
      <c r="G17" s="299">
        <f>G16+E17</f>
        <v>95328.5860710919951</v>
      </c>
      <c r="H17" s="304">
        <f>B17/G17</f>
        <v>0.221828191609903991</v>
      </c>
    </row>
    <row r="18" spans="1:8" s="298" customFormat="1" ht="13">
      <c r="A18" s="298">
        <f>A5</f>
        <v>3</v>
      </c>
      <c r="B18" s="299">
        <f>H5</f>
        <v>26736.4098552317009</v>
      </c>
      <c r="C18" s="299">
        <f>B5-B4</f>
        <v>41286.796875</v>
      </c>
      <c r="D18" s="302">
        <f>'Valuation output'!E38</f>
        <v>5.94727818259751029</v>
      </c>
      <c r="E18" s="299">
        <f>C18/D18</f>
        <v>6942.13312500000029</v>
      </c>
      <c r="F18" s="299">
        <f>B18-E18</f>
        <v>19794.2767302317006</v>
      </c>
      <c r="G18" s="299">
        <f>G17+E18</f>
        <v>102270.719196092003</v>
      </c>
      <c r="H18" s="304">
        <f>B18/G18</f>
        <v>0.261427807151408009</v>
      </c>
    </row>
    <row r="19" spans="1:8" s="298" customFormat="1" ht="13">
      <c r="A19" s="298">
        <f>A6</f>
        <v>4</v>
      </c>
      <c r="B19" s="299">
        <f>H6</f>
        <v>33527.4066763099036</v>
      </c>
      <c r="C19" s="299">
        <f>B6-B5</f>
        <v>47479.81640625</v>
      </c>
      <c r="D19" s="302">
        <f>'Valuation output'!F38</f>
        <v>5.94727818259751029</v>
      </c>
      <c r="E19" s="299">
        <f>C19/D19</f>
        <v>7983.45309375001034</v>
      </c>
      <c r="F19" s="299">
        <f>B19-E19</f>
        <v>25543.9535825599014</v>
      </c>
      <c r="G19" s="299">
        <f>G18+E19</f>
        <v>110254.172289841998</v>
      </c>
      <c r="H19" s="304">
        <f>B19/G19</f>
        <v>0.30409195389151602</v>
      </c>
    </row>
    <row r="20" spans="1:8" s="298" customFormat="1" ht="13">
      <c r="A20" s="298">
        <f>A7</f>
        <v>5</v>
      </c>
      <c r="B20" s="299">
        <f>H7</f>
        <v>41754.1333219688968</v>
      </c>
      <c r="C20" s="299">
        <f>B7-B6</f>
        <v>54601.7888671879991</v>
      </c>
      <c r="D20" s="302">
        <f>'Valuation output'!G38</f>
        <v>5.94727818259751029</v>
      </c>
      <c r="E20" s="299">
        <f>C20/D20</f>
        <v>9180.97105781259052</v>
      </c>
      <c r="F20" s="299">
        <f>B20-E20</f>
        <v>32573.1622641563008</v>
      </c>
      <c r="G20" s="299">
        <f>G19+E20</f>
        <v>119435.143347655001</v>
      </c>
      <c r="H20" s="304">
        <f>B20/G20</f>
        <v>0.349596711249634984</v>
      </c>
    </row>
    <row r="21" spans="1:8" s="298" customFormat="1" ht="13">
      <c r="A21" s="298">
        <f>A8</f>
        <v>6</v>
      </c>
      <c r="B21" s="299">
        <f>H8</f>
        <v>46567.9451076182013</v>
      </c>
      <c r="C21" s="299">
        <f>B8-B7</f>
        <v>52745.3280457029978</v>
      </c>
      <c r="D21" s="302">
        <f>'Valuation output'!H38</f>
        <v>5.94727818259751029</v>
      </c>
      <c r="E21" s="299">
        <f>C21/D21</f>
        <v>8868.81804184686007</v>
      </c>
      <c r="F21" s="299">
        <f>B21-E21</f>
        <v>37699.127065771303</v>
      </c>
      <c r="G21" s="299">
        <f>G20+E21</f>
        <v>128303.961389502001</v>
      </c>
      <c r="H21" s="304">
        <f>B21/G21</f>
        <v>0.36295017397201299</v>
      </c>
    </row>
    <row r="22" spans="1:8" s="298" customFormat="1" ht="13">
      <c r="A22" s="298">
        <f>A9</f>
        <v>7</v>
      </c>
      <c r="B22" s="299">
        <f>H9</f>
        <v>50825.0511763588001</v>
      </c>
      <c r="C22" s="299">
        <f>B9-B8</f>
        <v>48078.6223548019989</v>
      </c>
      <c r="D22" s="302">
        <f>'Valuation output'!I38</f>
        <v>5.94727818259751029</v>
      </c>
      <c r="E22" s="299">
        <f>C22/D22</f>
        <v>8084.13880747769963</v>
      </c>
      <c r="F22" s="299">
        <f>B22-E22</f>
        <v>42740.9123688811014</v>
      </c>
      <c r="G22" s="299">
        <f>G21+E22</f>
        <v>136388.100196979998</v>
      </c>
      <c r="H22" s="304">
        <f>B22/G22</f>
        <v>0.372650187977941005</v>
      </c>
    </row>
    <row r="23" spans="1:8" s="298" customFormat="1" ht="13">
      <c r="A23" s="298">
        <f>A10</f>
        <v>8</v>
      </c>
      <c r="B23" s="299">
        <f>H10</f>
        <v>54258.1405379639982</v>
      </c>
      <c r="C23" s="299">
        <f>B10-B9</f>
        <v>40516.1378738178973</v>
      </c>
      <c r="D23" s="302">
        <f>'Valuation output'!J38</f>
        <v>5.94727818259751029</v>
      </c>
      <c r="E23" s="299">
        <f>C23/D23</f>
        <v>6812.55132681925988</v>
      </c>
      <c r="F23" s="299">
        <f>B23-E23</f>
        <v>47445.5892111447029</v>
      </c>
      <c r="G23" s="299">
        <f>G22+E23</f>
        <v>143200.651523798995</v>
      </c>
      <c r="H23" s="304">
        <f>B23/G23</f>
        <v>0.378895905574470993</v>
      </c>
    </row>
    <row r="24" spans="1:8" s="298" customFormat="1" ht="13">
      <c r="A24" s="298">
        <f>A11</f>
        <v>9</v>
      </c>
      <c r="B24" s="299">
        <f>H11</f>
        <v>56628.1272068351027</v>
      </c>
      <c r="C24" s="299">
        <f>B11-B10</f>
        <v>30237.505357828999</v>
      </c>
      <c r="D24" s="302">
        <f>'Valuation output'!K38</f>
        <v>5.94727818259751029</v>
      </c>
      <c r="E24" s="299">
        <f>C24/D24</f>
        <v>5084.25945944612977</v>
      </c>
      <c r="F24" s="299">
        <f>B24-E24</f>
        <v>51543.8677473889984</v>
      </c>
      <c r="G24" s="299">
        <f>G23+E24</f>
        <v>148284.910983245005</v>
      </c>
      <c r="H24" s="304">
        <f>B24/G24</f>
        <v>0.381887319696564997</v>
      </c>
    </row>
    <row r="25" spans="1:8" s="298" customFormat="1" ht="13">
      <c r="A25" s="298">
        <f>A12</f>
        <v>10</v>
      </c>
      <c r="B25" s="299">
        <f>H12</f>
        <v>57750.2195152557979</v>
      </c>
      <c r="C25" s="299">
        <f>B12-B11</f>
        <v>17705.7392484180018</v>
      </c>
      <c r="D25" s="302">
        <f>'Valuation output'!L38</f>
        <v>5.94727818259751029</v>
      </c>
      <c r="E25" s="299">
        <f>C25/D25</f>
        <v>2977.11637236463002</v>
      </c>
      <c r="F25" s="299">
        <f>B25-E25</f>
        <v>54773.1031428912029</v>
      </c>
      <c r="G25" s="299">
        <f>G24+E25</f>
        <v>151262.027355609986</v>
      </c>
      <c r="H25" s="304">
        <f>B25/G25</f>
        <v>0.381789273387746988</v>
      </c>
    </row>
    <row r="26" spans="1:1" s="298" customFormat="1" ht="13"/>
    <row r="27" spans="1:8" s="298" customFormat="1" ht="13">
      <c r="A27" s="297" t="s">
        <v>201</v>
      </c>
      <c r="B27" s="297" t="s">
        <v>213</v>
      </c>
      <c r="C27" s="297" t="s">
        <v>214</v>
      </c>
      <c r="D27" s="297" t="s">
        <v>215</v>
      </c>
      <c r="E27" s="297" t="s">
        <v>216</v>
      </c>
      <c r="F27" s="297" t="s">
        <v>217</v>
      </c>
      <c r="G27" s="297" t="s">
        <v>218</v>
      </c>
      <c r="H27" s="297" t="s">
        <v>219</v>
      </c>
    </row>
    <row r="28" spans="1:8">
      <c r="A28">
        <f>A16</f>
        <v>1</v>
      </c>
      <c r="H28" s="294">
        <f>'Valuation output'!C12</f>
        <v>0.0796999999999999886</v>
      </c>
    </row>
    <row r="29" spans="1:8">
      <c r="A29">
        <f>A17</f>
        <v>2</v>
      </c>
      <c r="H29" s="294">
        <f>'Valuation output'!D12</f>
        <v>0.0796999999999999886</v>
      </c>
    </row>
    <row r="30" spans="1:8">
      <c r="A30">
        <f>A18</f>
        <v>3</v>
      </c>
      <c r="H30" s="294">
        <f>'Valuation output'!E12</f>
        <v>0.0796999999999999886</v>
      </c>
    </row>
    <row r="31" spans="1:8">
      <c r="A31">
        <f>A19</f>
        <v>4</v>
      </c>
      <c r="H31" s="294">
        <f>'Valuation output'!F12</f>
        <v>0.0796999999999999886</v>
      </c>
    </row>
    <row r="32" spans="1:8">
      <c r="A32">
        <f>A20</f>
        <v>5</v>
      </c>
      <c r="H32" s="294">
        <f>'Valuation output'!G12</f>
        <v>0.0796999999999999886</v>
      </c>
    </row>
    <row r="33" spans="1:8">
      <c r="A33">
        <f>A21</f>
        <v>6</v>
      </c>
      <c r="H33" s="294">
        <f>'Valuation output'!H12</f>
        <v>0.0787599999999999945</v>
      </c>
    </row>
    <row r="34" spans="1:8">
      <c r="A34">
        <f>A22</f>
        <v>7</v>
      </c>
      <c r="H34" s="294">
        <f>'Valuation output'!I12</f>
        <v>0.0778200000000000003</v>
      </c>
    </row>
    <row r="35" spans="1:8">
      <c r="A35">
        <f>A23</f>
        <v>8</v>
      </c>
      <c r="H35" s="294">
        <f>'Valuation output'!J12</f>
        <v>0.0768800000000000061</v>
      </c>
    </row>
    <row r="36" spans="1:8">
      <c r="A36">
        <f>A24</f>
        <v>9</v>
      </c>
      <c r="H36" s="294">
        <f>'Valuation output'!K12</f>
        <v>0.0759399999999999942</v>
      </c>
    </row>
    <row r="37" spans="1:8">
      <c r="A37">
        <f>A25</f>
        <v>10</v>
      </c>
      <c r="H37" s="294">
        <f>'Valuation output'!L12</f>
        <v>0.075</v>
      </c>
    </row>
    <row r="39" spans="1:6">
      <c r="A39" s="297" t="s">
        <v>201</v>
      </c>
      <c r="B39" s="297" t="s">
        <v>219</v>
      </c>
      <c r="C39" s="297" t="s">
        <v>220</v>
      </c>
      <c r="D39" s="297" t="s">
        <v>131</v>
      </c>
      <c r="E39" s="297" t="s">
        <v>221</v>
      </c>
      <c r="F39" s="297" t="s">
        <v>222</v>
      </c>
    </row>
    <row r="40" spans="1:6">
      <c r="A40">
        <f>A28</f>
        <v>1</v>
      </c>
      <c r="B40" s="305">
        <f>H28</f>
        <v>0.0796999999999999886</v>
      </c>
      <c r="C40" s="306">
        <f>(1+'Summary Sheet'!B40)</f>
        <v>1.0797000000000001</v>
      </c>
      <c r="D40" s="301">
        <f>F16</f>
        <v>11310.8227528097996</v>
      </c>
      <c r="F40" s="301">
        <f>D40/C40</f>
        <v>10475.8940009352991</v>
      </c>
    </row>
    <row r="41" spans="1:6">
      <c r="A41">
        <f>A29</f>
        <v>2</v>
      </c>
      <c r="B41" s="305">
        <f>H29</f>
        <v>0.0796999999999999886</v>
      </c>
      <c r="C41" s="306">
        <f>C40*(1+B41)</f>
        <v>1.16575209000000002</v>
      </c>
      <c r="D41" s="301">
        <f>F17</f>
        <v>15109.9303568794003</v>
      </c>
      <c r="F41" s="301">
        <f>D41/C41</f>
        <v>12961.5297167336994</v>
      </c>
    </row>
    <row r="42" spans="1:6">
      <c r="A42">
        <f>A30</f>
        <v>3</v>
      </c>
      <c r="B42" s="305">
        <f>H30</f>
        <v>0.0796999999999999886</v>
      </c>
      <c r="C42" s="306">
        <f>C41*(1+B42)</f>
        <v>1.25866253157300001</v>
      </c>
      <c r="D42" s="301">
        <f>F18</f>
        <v>19794.2767302317006</v>
      </c>
      <c r="F42" s="301">
        <f>D42/C42</f>
        <v>15726.4367800748005</v>
      </c>
    </row>
    <row r="43" spans="1:6">
      <c r="A43">
        <f>A31</f>
        <v>4</v>
      </c>
      <c r="B43" s="305">
        <f>H31</f>
        <v>0.0796999999999999886</v>
      </c>
      <c r="C43" s="306">
        <f>C42*(1+B43)</f>
        <v>1.35897793533937006</v>
      </c>
      <c r="D43" s="301">
        <f>F19</f>
        <v>25543.9535825599014</v>
      </c>
      <c r="F43" s="301">
        <f>D43/C43</f>
        <v>18796.4446797150995</v>
      </c>
    </row>
    <row r="44" spans="1:6">
      <c r="A44">
        <f>A32</f>
        <v>5</v>
      </c>
      <c r="B44" s="305">
        <f>H32</f>
        <v>0.0796999999999999886</v>
      </c>
      <c r="C44" s="306">
        <f>C43*(1+B44)</f>
        <v>1.46728847678592</v>
      </c>
      <c r="D44" s="301">
        <f>F20</f>
        <v>32573.1622641563008</v>
      </c>
      <c r="F44" s="301">
        <f>D44/C44</f>
        <v>22199.5625124157013</v>
      </c>
    </row>
    <row r="45" spans="1:6">
      <c r="A45">
        <f>A33</f>
        <v>6</v>
      </c>
      <c r="B45" s="305">
        <f>H33</f>
        <v>0.0787599999999999945</v>
      </c>
      <c r="C45" s="306">
        <f>C44*(1+B45)</f>
        <v>1.58285211721758001</v>
      </c>
      <c r="D45" s="301">
        <f>F21</f>
        <v>37699.127065771303</v>
      </c>
      <c r="F45" s="301">
        <f>D45/C45</f>
        <v>23817.2136586207016</v>
      </c>
    </row>
    <row r="46" spans="1:6">
      <c r="A46">
        <f>A34</f>
        <v>7</v>
      </c>
      <c r="B46" s="305">
        <f>H34</f>
        <v>0.0778200000000000003</v>
      </c>
      <c r="C46" s="306">
        <f>C45*(1+B46)</f>
        <v>1.70602966897945008</v>
      </c>
      <c r="D46" s="301">
        <f>F22</f>
        <v>42740.9123688811014</v>
      </c>
      <c r="F46" s="301">
        <f>D46/C46</f>
        <v>25052.8540892544006</v>
      </c>
    </row>
    <row r="47" spans="1:6">
      <c r="A47">
        <f>A35</f>
        <v>8</v>
      </c>
      <c r="B47" s="305">
        <f>H35</f>
        <v>0.0768800000000000061</v>
      </c>
      <c r="C47" s="306">
        <f>C46*(1+B47)</f>
        <v>1.83718922993059017</v>
      </c>
      <c r="D47" s="301">
        <f>F23</f>
        <v>47445.5892111447029</v>
      </c>
      <c r="F47" s="301">
        <f>D47/C47</f>
        <v>25825.0965323464006</v>
      </c>
    </row>
    <row r="48" spans="1:6">
      <c r="A48">
        <f>A36</f>
        <v>9</v>
      </c>
      <c r="B48" s="305">
        <f>H36</f>
        <v>0.0759399999999999942</v>
      </c>
      <c r="C48" s="306">
        <f>C47*(1+B48)</f>
        <v>1.97670538005151997</v>
      </c>
      <c r="D48" s="301">
        <f>F24</f>
        <v>51543.8677473889984</v>
      </c>
      <c r="F48" s="301">
        <f>D48/C48</f>
        <v>26075.6449937145007</v>
      </c>
    </row>
    <row r="49" spans="1:6">
      <c r="A49">
        <f>A37</f>
        <v>10</v>
      </c>
      <c r="B49" s="305">
        <f>H37</f>
        <v>0.075</v>
      </c>
      <c r="C49" s="306">
        <f>C48*(1+B49)</f>
        <v>2.12495828355537997</v>
      </c>
      <c r="D49" s="301">
        <f>F25</f>
        <v>54773.1031428912029</v>
      </c>
      <c r="E49" s="301">
        <f>'Valuation output'!B18</f>
        <v>925286.850455541979</v>
      </c>
      <c r="F49" s="301">
        <f>(D49+E49)/C49</f>
        <v>461213.738256848999</v>
      </c>
    </row>
    <row r="50" spans="1:6">
      <c r="A50" t="s">
        <v>144</v>
      </c>
      <c r="F50" s="301">
        <f>SUM(F40:F49)</f>
        <v>642144.415220660041</v>
      </c>
    </row>
  </sheetData>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300000" footer="0.300000"/>
  <pageSetup paperSize="1" fitToWidth="0" fitToHeight="1" pageOrder="overThenDown"/>
  <headerFooter>
    <extLst>
      <ext uri="smNativeData">
        <pm:header xmlns:pm="smNativeData" id="1696577006" l="56" r="56" t="56" b="56" borderId="0" fillId="0" vertical="0"/>
        <pm:footer xmlns:pm="smNativeData" id="1696577006" l="56" r="56" t="56" b="56" borderId="0" fillId="0" vertical="2"/>
      </ext>
    </extLst>
  </headerFooter>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G27"/>
  <sheetViews>
    <sheetView view="normal" zoomScale="125" workbookViewId="0">
      <selection activeCell="A1" sqref="A1"/>
    </sheetView>
  </sheetViews>
  <sheetFormatPr baseColWidth="10" defaultColWidth="11.500000" defaultRowHeight="11.50"/>
  <cols>
    <col min="1" max="1" width="55.311111" customWidth="1"/>
    <col min="3" max="3" width="11.555556" customWidth="1"/>
    <col min="4" max="4" width="25.866667" customWidth="1"/>
  </cols>
  <sheetData>
    <row r="1" spans="1:2" s="10" customFormat="1" ht="18.10">
      <c r="A1" s="9" t="s">
        <v>223</v>
      </c>
      <c r="B1" s="9"/>
    </row>
    <row r="2" spans="1:4">
      <c r="A2" s="11" t="s">
        <v>224</v>
      </c>
      <c r="B2" s="11"/>
      <c r="D2" s="31">
        <f>'Input sheet'!B19</f>
        <v>1970.19000000000005</v>
      </c>
    </row>
    <row r="3" spans="1:4">
      <c r="A3" s="11" t="s">
        <v>225</v>
      </c>
      <c r="B3" s="11"/>
      <c r="D3" s="12">
        <f>'Input sheet'!B33</f>
        <v>61.1300000000000026</v>
      </c>
    </row>
    <row r="4" spans="1:4">
      <c r="A4" s="11" t="s">
        <v>226</v>
      </c>
      <c r="B4" s="11"/>
      <c r="D4" s="15">
        <f>'Input sheet'!B34</f>
        <v>5.96999999999999975</v>
      </c>
    </row>
    <row r="5" spans="1:5">
      <c r="A5" s="11" t="s">
        <v>227</v>
      </c>
      <c r="B5" s="11"/>
      <c r="D5" s="13">
        <f>'Input sheet'!B35</f>
        <v>0.3</v>
      </c>
      <c r="E5" s="11" t="s">
        <v>228</v>
      </c>
    </row>
    <row r="6" spans="1:4">
      <c r="A6" s="11" t="s">
        <v>229</v>
      </c>
      <c r="B6" s="11"/>
      <c r="D6" s="14" t="n">
        <v>0</v>
      </c>
    </row>
    <row r="7" spans="1:4">
      <c r="A7" s="11" t="s">
        <v>230</v>
      </c>
      <c r="B7" s="11"/>
      <c r="D7" s="14">
        <f>'Input sheet'!B28</f>
        <v>0.03</v>
      </c>
    </row>
    <row r="8" spans="1:4">
      <c r="A8" s="11" t="s">
        <v>231</v>
      </c>
      <c r="B8" s="11"/>
      <c r="D8" s="15">
        <f>'Input sheet'!B32</f>
        <v>21.6499999999999986</v>
      </c>
    </row>
    <row r="9" spans="1:4">
      <c r="A9" s="11" t="s">
        <v>232</v>
      </c>
      <c r="B9" s="11"/>
      <c r="D9" s="16">
        <f>'Input sheet'!B18</f>
        <v>497</v>
      </c>
    </row>
    <row r="10" spans="1:2">
      <c r="A10" s="11"/>
      <c r="B10" s="11"/>
    </row>
    <row r="11" spans="1:2" s="19" customFormat="1" ht="13.45">
      <c r="A11" s="17" t="s">
        <v>233</v>
      </c>
      <c r="B11" s="18"/>
    </row>
    <row r="12" spans="1:1" s="11" customFormat="1" ht="12.60">
      <c r="A12" s="20" t="s">
        <v>234</v>
      </c>
    </row>
    <row r="13" spans="1:7" s="11" customFormat="1" ht="12.60">
      <c r="A13" s="11" t="s">
        <v>235</v>
      </c>
      <c r="C13" s="416">
        <f>D2</f>
        <v>1970.19000000000005</v>
      </c>
      <c r="D13" s="11" t="s">
        <v>236</v>
      </c>
      <c r="F13" s="417">
        <f>D8</f>
        <v>21.6499999999999986</v>
      </c>
      <c r="G13" s="23"/>
    </row>
    <row r="14" spans="1:7" s="11" customFormat="1" ht="12.60">
      <c r="A14" s="11" t="s">
        <v>237</v>
      </c>
      <c r="C14" s="416">
        <f>D3</f>
        <v>61.1300000000000026</v>
      </c>
      <c r="D14" s="11" t="s">
        <v>238</v>
      </c>
      <c r="F14" s="24">
        <f>D9</f>
        <v>497</v>
      </c>
      <c r="G14" s="23"/>
    </row>
    <row r="15" spans="1:6" s="11" customFormat="1" ht="12.60">
      <c r="A15" s="11" t="s">
        <v>239</v>
      </c>
      <c r="C15" s="21">
        <f>(C13*F14+C26*F13)/(F14+F13)</f>
        <v>1967.96375141703993</v>
      </c>
      <c r="D15" s="11" t="s">
        <v>240</v>
      </c>
      <c r="F15" s="25">
        <f>D7</f>
        <v>0.03</v>
      </c>
    </row>
    <row r="16" spans="1:6" s="11" customFormat="1" ht="12.60">
      <c r="A16" s="11" t="s">
        <v>241</v>
      </c>
      <c r="C16" s="416">
        <f>C14</f>
        <v>61.1300000000000026</v>
      </c>
      <c r="D16" s="11" t="s">
        <v>242</v>
      </c>
      <c r="F16" s="26">
        <f>D5^2</f>
        <v>0.09</v>
      </c>
    </row>
    <row r="17" spans="1:6" s="11" customFormat="1" ht="12.60">
      <c r="A17" s="11" t="s">
        <v>243</v>
      </c>
      <c r="C17" s="415">
        <f>D4</f>
        <v>5.96999999999999975</v>
      </c>
      <c r="D17" s="11" t="s">
        <v>244</v>
      </c>
      <c r="F17" s="25">
        <f>D6</f>
        <v>0</v>
      </c>
    </row>
    <row r="18" spans="3:6" s="11" customFormat="1" ht="12.60">
      <c r="C18" s="20"/>
      <c r="D18" s="11" t="s">
        <v>245</v>
      </c>
      <c r="F18" s="27">
        <f>F15-F17</f>
        <v>0.03</v>
      </c>
    </row>
    <row r="19" spans="1:1" s="11" customFormat="1" ht="12.60"/>
    <row r="20" spans="1:2" s="11" customFormat="1" ht="12.60">
      <c r="A20" s="11" t="s">
        <v>246</v>
      </c>
      <c r="B20" s="22">
        <f>(LN(C15/C16)+(F18+(F16/2))*C17)/(((F16)^(0.5))*(C17^0.5))</f>
        <v>5.34715114971494021</v>
      </c>
    </row>
    <row r="21" spans="1:2" s="11" customFormat="1" ht="12.60">
      <c r="A21" s="11" t="s">
        <v>247</v>
      </c>
      <c r="B21" s="22">
        <f>NORMSDIST(B20)</f>
        <v>0.99999995532530086</v>
      </c>
    </row>
    <row r="22" spans="1:1" s="11" customFormat="1" ht="12.60"/>
    <row r="23" spans="1:2" s="11" customFormat="1" ht="15.75" customHeight="1">
      <c r="A23" s="11" t="s">
        <v>248</v>
      </c>
      <c r="B23" s="22">
        <f>B20-((F16^0.5)*(C17^(0.5)))</f>
        <v>4.61414364634271035</v>
      </c>
    </row>
    <row r="24" spans="1:2" s="11" customFormat="1" ht="12.60">
      <c r="A24" s="11" t="s">
        <v>249</v>
      </c>
      <c r="B24" s="22">
        <f>NORMSDIST(B23)</f>
        <v>0.999998026403141971</v>
      </c>
    </row>
    <row r="25" spans="1:2">
      <c r="A25" s="11"/>
      <c r="B25" s="11"/>
    </row>
    <row r="26" spans="1:7" s="11" customFormat="1" ht="12.60">
      <c r="A26" s="11" t="s">
        <v>250</v>
      </c>
      <c r="C26" s="28">
        <f>((EXP((0-F17)*C17))*C15*B21-C16*(EXP((0-F15)*C17))*B24)</f>
        <v>1916.85772159125008</v>
      </c>
      <c r="G26" s="29"/>
    </row>
    <row r="27" spans="1:4" s="11" customFormat="1" ht="12.60">
      <c r="A27" s="11" t="s">
        <v>251</v>
      </c>
      <c r="D27" s="30">
        <f>C26*D8</f>
        <v>41499.9696724505993</v>
      </c>
    </row>
  </sheetData>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pageOrder="overThenDown"/>
  <headerFooter>
    <extLst>
      <ext uri="smNativeData">
        <pm:header xmlns:pm="smNativeData" id="1696577006" l="56" r="56" t="56" b="56" borderId="0" fillId="0" vertical="0"/>
        <pm:footer xmlns:pm="smNativeData" id="1696577006" l="56" r="56" t="56" b="56" borderId="0" fillId="0" vertical="2"/>
      </ext>
    </extLst>
  </headerFooter>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D16"/>
  <sheetViews>
    <sheetView view="normal" zoomScale="125" workbookViewId="0">
      <selection activeCell="B10" sqref="B10:C10"/>
    </sheetView>
  </sheetViews>
  <sheetFormatPr baseColWidth="10" defaultColWidth="10.833333" defaultRowHeight="15.80"/>
  <cols>
    <col min="1" max="1" width="61.666667" customWidth="1" style="8"/>
    <col min="2" max="2" width="43.833333" customWidth="1" style="8"/>
    <col min="3" max="3" width="68.000000" customWidth="1" style="8"/>
    <col min="4" max="16384" width="10.833333" style="8"/>
  </cols>
  <sheetData>
    <row r="1" spans="1:2" s="124" customFormat="1" ht="13.45">
      <c r="A1" s="126" t="s">
        <v>252</v>
      </c>
      <c r="B1" s="127"/>
    </row>
    <row r="2" spans="1:2" s="124" customFormat="1" ht="13.45">
      <c r="A2" s="127" t="s">
        <v>253</v>
      </c>
      <c r="B2" s="128">
        <f>'Valuation output'!B39</f>
        <v>84042.698571091998</v>
      </c>
    </row>
    <row r="3" spans="1:2" s="124" customFormat="1" ht="13.45">
      <c r="A3" s="127" t="s">
        <v>254</v>
      </c>
      <c r="B3" s="128">
        <f>'Valuation output'!L39</f>
        <v>151262.027355609986</v>
      </c>
    </row>
    <row r="4" spans="1:2" s="124" customFormat="1" ht="13.45">
      <c r="A4" s="127" t="s">
        <v>255</v>
      </c>
      <c r="B4" s="128">
        <f>B3-B2</f>
        <v>67219.3287845180021</v>
      </c>
    </row>
    <row r="5" spans="1:2" s="124" customFormat="1" ht="13.45">
      <c r="A5" s="127" t="s">
        <v>256</v>
      </c>
      <c r="B5" s="128">
        <f>'Valuation output'!L5-'Valuation output'!B5</f>
        <v>59933.1507982351977</v>
      </c>
    </row>
    <row r="6" spans="1:2" s="124" customFormat="1" ht="13.45">
      <c r="A6" s="127" t="s">
        <v>257</v>
      </c>
      <c r="B6" s="129">
        <f>B5/B4</f>
        <v>0.891605909817400999</v>
      </c>
    </row>
    <row r="7" spans="1:2" s="124" customFormat="1" ht="13.45">
      <c r="A7" s="127" t="s">
        <v>258</v>
      </c>
      <c r="B7" s="129">
        <f>'Valuation output'!L40</f>
        <v>0.381789273387746988</v>
      </c>
    </row>
    <row r="8" spans="1:2" s="124" customFormat="1" ht="13.45">
      <c r="A8" s="127" t="s">
        <v>259</v>
      </c>
      <c r="B8" s="129">
        <f>(1/'Valuation output'!L13)^(1/10)-1</f>
        <v>0.0782886673267599953</v>
      </c>
    </row>
    <row r="9" spans="1:2" s="124" customFormat="1" ht="13.45">
      <c r="A9" s="130" t="s">
        <v>260</v>
      </c>
      <c r="B9" s="131">
        <f>'Valuation output'!B33/'Valuation output'!B34</f>
        <v>0.637019133003948923</v>
      </c>
    </row>
    <row r="10" spans="1:3" s="124" customFormat="1" ht="13.45">
      <c r="A10" s="132"/>
      <c r="B10" s="411" t="str">
        <f>IF(B9="NA","Value is negative. See below",IF(B9&gt;2,"Value seems high. See below",IF(B9&lt;0.5,"Value seems low. See below"," ")))</f>
        <v> </v>
      </c>
      <c r="C10" s="412"/>
    </row>
    <row r="11" spans="1:3" s="11" customFormat="1" ht="12.60">
      <c r="A11" s="185" t="s">
        <v>261</v>
      </c>
      <c r="B11" s="186" t="s">
        <v>262</v>
      </c>
      <c r="C11" s="187" t="s">
        <v>263</v>
      </c>
    </row>
    <row r="12" spans="1:3" s="11" customFormat="1" ht="12.60">
      <c r="A12" s="196" t="s">
        <v>264</v>
      </c>
      <c r="B12" s="188" t="s">
        <v>265</v>
      </c>
      <c r="C12" s="189" t="s">
        <v>266</v>
      </c>
    </row>
    <row r="13" spans="1:4" s="11" customFormat="1" ht="12.60">
      <c r="A13" s="196" t="s">
        <v>267</v>
      </c>
      <c r="B13" s="190" t="s">
        <v>268</v>
      </c>
      <c r="C13" s="191" t="s">
        <v>269</v>
      </c>
      <c r="D13" s="11" t="s">
        <v>270</v>
      </c>
    </row>
    <row r="14" spans="1:4" s="11" customFormat="1" ht="12.60">
      <c r="A14" s="197" t="s">
        <v>271</v>
      </c>
      <c r="B14" s="192" t="s">
        <v>272</v>
      </c>
      <c r="C14" s="193" t="s">
        <v>273</v>
      </c>
      <c r="D14" s="11" t="s">
        <v>270</v>
      </c>
    </row>
    <row r="15" spans="1:4" s="11" customFormat="1" ht="12.60">
      <c r="A15" s="198" t="s">
        <v>274</v>
      </c>
      <c r="B15" s="194" t="s">
        <v>275</v>
      </c>
      <c r="C15" s="195" t="s">
        <v>276</v>
      </c>
      <c r="D15" s="11" t="s">
        <v>277</v>
      </c>
    </row>
    <row r="16" spans="2:2">
      <c r="B16" s="72"/>
    </row>
  </sheetData>
  <mergeCells count="1">
    <mergeCell ref="B10:C10"/>
  </mergeCells>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pageOrder="overThenDown"/>
  <headerFooter>
    <extLst>
      <ext uri="smNativeData">
        <pm:header xmlns:pm="smNativeData" id="1696577006" l="56" r="56" t="56" b="56" borderId="0" fillId="0" vertical="0"/>
        <pm:footer xmlns:pm="smNativeData" id="1696577006" l="56" r="56" t="56" b="56" borderId="0" fillId="0" vertical="2"/>
      </ext>
    </extLst>
  </headerFooter>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J40"/>
  <sheetViews>
    <sheetView view="normal" topLeftCell="A13" zoomScale="125" workbookViewId="0">
      <selection activeCell="F19" sqref="F19"/>
    </sheetView>
  </sheetViews>
  <sheetFormatPr baseColWidth="10" defaultColWidth="11.500000" defaultRowHeight="11.50"/>
  <cols>
    <col min="2" max="2" width="13.888889" customWidth="1"/>
    <col min="5" max="5" width="77.233333" customWidth="1"/>
    <col min="6" max="6" width="12.488889" customWidth="1"/>
  </cols>
  <sheetData>
    <row r="1" spans="1:10" s="9" customFormat="1" ht="18.10">
      <c r="A1" s="32" t="s">
        <v>278</v>
      </c>
      <c r="B1" s="32"/>
      <c r="C1" s="32"/>
      <c r="D1" s="32"/>
      <c r="E1" s="32"/>
      <c r="F1" s="32"/>
      <c r="G1" s="32"/>
      <c r="H1" s="32"/>
      <c r="I1" s="32"/>
      <c r="J1" s="32"/>
    </row>
    <row r="2" spans="1:1" s="11" customFormat="1" ht="12.60">
      <c r="A2" s="11" t="s">
        <v>279</v>
      </c>
    </row>
    <row r="3" spans="1:1" s="11" customFormat="1" ht="12.60">
      <c r="A3" s="11" t="s">
        <v>280</v>
      </c>
    </row>
    <row r="4" spans="1:1" s="11" customFormat="1" ht="12.60"/>
    <row r="5" spans="1:1" s="11" customFormat="1" ht="12.60">
      <c r="A5" s="20" t="s">
        <v>261</v>
      </c>
    </row>
    <row r="6" spans="1:7" s="11" customFormat="1" ht="12.60">
      <c r="A6" s="11" t="s">
        <v>281</v>
      </c>
      <c r="F6" s="112" t="n">
        <v>2</v>
      </c>
      <c r="G6" s="11" t="s">
        <v>282</v>
      </c>
    </row>
    <row r="7" spans="1:7" s="11" customFormat="1" ht="12.60">
      <c r="A7" s="11" t="s">
        <v>283</v>
      </c>
      <c r="F7" s="36" t="n">
        <v>22620</v>
      </c>
      <c r="G7" s="11" t="s">
        <v>284</v>
      </c>
    </row>
    <row r="8" spans="1:1" s="11" customFormat="1" ht="12.60">
      <c r="A8" s="11" t="s">
        <v>285</v>
      </c>
    </row>
    <row r="9" spans="1:1" s="11" customFormat="1" ht="12.60">
      <c r="A9" s="11" t="s">
        <v>286</v>
      </c>
    </row>
    <row r="10" spans="1:9" s="161" customFormat="1" ht="12.60">
      <c r="A10" s="159" t="s">
        <v>201</v>
      </c>
      <c r="B10" s="159" t="s">
        <v>287</v>
      </c>
      <c r="C10" s="160"/>
      <c r="D10" s="160"/>
      <c r="E10" s="160"/>
      <c r="F10" s="160"/>
      <c r="G10" s="160"/>
      <c r="H10" s="160"/>
      <c r="I10" s="160"/>
    </row>
    <row r="11" spans="1:9" s="161" customFormat="1" ht="12.60">
      <c r="A11" s="162" t="n">
        <v>-1</v>
      </c>
      <c r="B11" s="163" t="n">
        <v>16085</v>
      </c>
      <c r="C11" s="160" t="s">
        <v>288</v>
      </c>
      <c r="D11" s="160"/>
      <c r="E11" s="160"/>
      <c r="F11" s="160"/>
      <c r="G11" s="160"/>
      <c r="H11" s="160"/>
      <c r="I11" s="160"/>
    </row>
    <row r="12" spans="1:9" s="161" customFormat="1" ht="12.60">
      <c r="A12" s="162">
        <f>IF((0-A11)&lt;$F$6,IF(A11&gt;-1,,A11-1),)</f>
        <v>-2</v>
      </c>
      <c r="B12" s="163" t="n">
        <v>12540</v>
      </c>
      <c r="C12" s="160" t="s">
        <v>289</v>
      </c>
      <c r="D12" s="160"/>
      <c r="E12" s="160"/>
      <c r="F12" s="160"/>
      <c r="G12" s="160"/>
      <c r="H12" s="160"/>
      <c r="I12" s="160"/>
    </row>
    <row r="13" spans="1:9" s="161" customFormat="1" ht="12.60">
      <c r="A13" s="162">
        <f>IF((0-A12)&lt;$F$6,IF(A12&gt;-1,,A12-1),)</f>
        <v>0</v>
      </c>
      <c r="B13" s="163"/>
      <c r="C13" s="160"/>
      <c r="D13" s="160"/>
      <c r="E13" s="160"/>
      <c r="F13" s="160"/>
      <c r="G13" s="160"/>
      <c r="H13" s="160"/>
      <c r="I13" s="160"/>
    </row>
    <row r="14" spans="1:9" s="161" customFormat="1" ht="12.60">
      <c r="A14" s="162">
        <f>IF((0-A13)&lt;$F$6,IF(A13&gt;-1,,A13-1),)</f>
        <v>0</v>
      </c>
      <c r="B14" s="163"/>
      <c r="C14" s="160"/>
      <c r="D14" s="160"/>
      <c r="E14" s="160"/>
      <c r="F14" s="160"/>
      <c r="G14" s="160"/>
      <c r="H14" s="160"/>
      <c r="I14" s="160"/>
    </row>
    <row r="15" spans="1:9" s="161" customFormat="1" ht="12.60">
      <c r="A15" s="162">
        <f>IF((0-A14)&lt;$F$6,IF(A14&gt;-1,,A14-1),)</f>
        <v>0</v>
      </c>
      <c r="B15" s="163"/>
      <c r="C15" s="160"/>
      <c r="D15" s="160"/>
      <c r="E15" s="160"/>
      <c r="F15" s="160"/>
      <c r="G15" s="160"/>
      <c r="H15" s="160"/>
      <c r="I15" s="160"/>
    </row>
    <row r="16" spans="1:9" s="161" customFormat="1" ht="12.60">
      <c r="A16" s="162">
        <f>IF((0-A15)&lt;$F$6,IF(A15&gt;-1,,A15-1),)</f>
        <v>0</v>
      </c>
      <c r="B16" s="163"/>
      <c r="C16" s="160"/>
      <c r="D16" s="160"/>
      <c r="E16" s="160"/>
      <c r="F16" s="160"/>
      <c r="G16" s="160"/>
      <c r="H16" s="160"/>
      <c r="I16" s="160"/>
    </row>
    <row r="17" spans="1:9" s="161" customFormat="1" ht="12.60">
      <c r="A17" s="162">
        <f>IF((0-A16)&lt;$F$6,IF(A16&gt;-1,,A16-1),)</f>
        <v>0</v>
      </c>
      <c r="B17" s="163"/>
      <c r="C17" s="160"/>
      <c r="D17" s="160"/>
      <c r="E17" s="160"/>
      <c r="F17" s="160"/>
      <c r="G17" s="160"/>
      <c r="H17" s="160"/>
      <c r="I17" s="160"/>
    </row>
    <row r="18" spans="1:9" s="161" customFormat="1" ht="12.60">
      <c r="A18" s="162">
        <f>IF((0-A17)&lt;$F$6,IF(A17&gt;-1,,A17-1),)</f>
        <v>0</v>
      </c>
      <c r="B18" s="163"/>
      <c r="C18" s="160"/>
      <c r="D18" s="160"/>
      <c r="E18" s="160"/>
      <c r="F18" s="160"/>
      <c r="G18" s="160"/>
      <c r="H18" s="160"/>
      <c r="I18" s="160"/>
    </row>
    <row r="19" spans="1:9" s="161" customFormat="1" ht="12.60">
      <c r="A19" s="162">
        <f>IF((0-A18)&lt;$F$6,IF(A18&gt;-1,,A18-1),)</f>
        <v>0</v>
      </c>
      <c r="B19" s="163"/>
      <c r="C19" s="160"/>
      <c r="D19" s="160"/>
      <c r="E19" s="160"/>
      <c r="F19" s="160"/>
      <c r="G19" s="160"/>
      <c r="H19" s="160"/>
      <c r="I19" s="160"/>
    </row>
    <row r="20" spans="1:9" s="161" customFormat="1" ht="12.60">
      <c r="A20" s="162">
        <f>IF((0-A19)&lt;$F$6,IF(A19&gt;-1,,A19-1),)</f>
        <v>0</v>
      </c>
      <c r="B20" s="163"/>
      <c r="C20" s="160"/>
      <c r="D20" s="160"/>
      <c r="E20" s="160"/>
      <c r="F20" s="160"/>
      <c r="G20" s="160"/>
      <c r="H20" s="160"/>
      <c r="I20" s="160"/>
    </row>
    <row r="21" spans="1:9" s="161" customFormat="1" ht="12.60">
      <c r="A21" s="160"/>
      <c r="B21" s="160"/>
      <c r="C21" s="160"/>
      <c r="D21" s="160"/>
      <c r="E21" s="160"/>
      <c r="F21" s="160"/>
      <c r="G21" s="160"/>
      <c r="H21" s="160"/>
      <c r="I21" s="160"/>
    </row>
    <row r="22" spans="1:9" s="161" customFormat="1" ht="12.60">
      <c r="A22" s="164" t="s">
        <v>290</v>
      </c>
      <c r="B22" s="160"/>
      <c r="C22" s="160"/>
      <c r="D22" s="160"/>
      <c r="E22" s="160"/>
      <c r="F22" s="160"/>
      <c r="G22" s="160"/>
      <c r="H22" s="160"/>
      <c r="I22" s="160"/>
    </row>
    <row r="23" spans="1:9" s="161" customFormat="1" ht="12.60">
      <c r="A23" s="159" t="s">
        <v>201</v>
      </c>
      <c r="B23" s="159" t="s">
        <v>291</v>
      </c>
      <c r="C23" s="165" t="s">
        <v>292</v>
      </c>
      <c r="D23" s="166"/>
      <c r="E23" s="160" t="s">
        <v>293</v>
      </c>
      <c r="F23" s="160"/>
      <c r="G23" s="160"/>
      <c r="H23" s="160"/>
      <c r="I23" s="160"/>
    </row>
    <row r="24" spans="1:9" s="161" customFormat="1" ht="12.60">
      <c r="A24" s="159" t="s">
        <v>294</v>
      </c>
      <c r="B24" s="159">
        <f>F7</f>
        <v>22620</v>
      </c>
      <c r="C24" s="159">
        <f>1</f>
        <v>1</v>
      </c>
      <c r="D24" s="159">
        <f>B24*C24</f>
        <v>22620</v>
      </c>
      <c r="E24" s="160"/>
      <c r="F24" s="160"/>
      <c r="G24" s="160"/>
      <c r="H24" s="160"/>
      <c r="I24" s="160"/>
    </row>
    <row r="25" spans="1:9" s="161" customFormat="1" ht="12.60">
      <c r="A25" s="162">
        <f>A11</f>
        <v>-1</v>
      </c>
      <c r="B25" s="159">
        <f>B11</f>
        <v>16085</v>
      </c>
      <c r="C25" s="159">
        <f>IF(A25&lt;0,($F$6+A25)/$F$6,0)</f>
        <v>0.5</v>
      </c>
      <c r="D25" s="159">
        <f>B25*C25</f>
        <v>8042.5</v>
      </c>
      <c r="E25" s="167">
        <f>IF(A25&lt;0,B25/$F$6,0)</f>
        <v>8042.5</v>
      </c>
      <c r="F25" s="160"/>
      <c r="G25" s="160"/>
      <c r="H25" s="160"/>
      <c r="I25" s="160"/>
    </row>
    <row r="26" spans="1:9" s="161" customFormat="1" ht="12.60">
      <c r="A26" s="162">
        <f>A12</f>
        <v>-2</v>
      </c>
      <c r="B26" s="159">
        <f>B12</f>
        <v>12540</v>
      </c>
      <c r="C26" s="159">
        <f>IF(A26&lt;0,($F$6+A26)/$F$6,0)</f>
        <v>0</v>
      </c>
      <c r="D26" s="159">
        <f>B26*C26</f>
        <v>0</v>
      </c>
      <c r="E26" s="167">
        <f>IF(A26&lt;0,B26/$F$6,0)</f>
        <v>6270</v>
      </c>
      <c r="F26" s="160"/>
      <c r="G26" s="160"/>
      <c r="H26" s="160"/>
      <c r="I26" s="160"/>
    </row>
    <row r="27" spans="1:9" s="161" customFormat="1" ht="12.60">
      <c r="A27" s="162">
        <f>A13</f>
        <v>0</v>
      </c>
      <c r="B27" s="159">
        <f>B13</f>
        <v>0</v>
      </c>
      <c r="C27" s="159">
        <f>IF(A27&lt;0,($F$6+A27)/$F$6,0)</f>
        <v>0</v>
      </c>
      <c r="D27" s="159">
        <f>B27*C27</f>
        <v>0</v>
      </c>
      <c r="E27" s="167">
        <f>IF(A27&lt;0,B27/$F$6,0)</f>
        <v>0</v>
      </c>
      <c r="F27" s="160"/>
      <c r="G27" s="160"/>
      <c r="H27" s="160"/>
      <c r="I27" s="160"/>
    </row>
    <row r="28" spans="1:9" s="161" customFormat="1" ht="12.60">
      <c r="A28" s="162">
        <f>A14</f>
        <v>0</v>
      </c>
      <c r="B28" s="159">
        <f>B14</f>
        <v>0</v>
      </c>
      <c r="C28" s="159">
        <f>IF(A28&lt;0,($F$6+A28)/$F$6,0)</f>
        <v>0</v>
      </c>
      <c r="D28" s="159">
        <f>B28*C28</f>
        <v>0</v>
      </c>
      <c r="E28" s="167">
        <f>IF(A28&lt;0,B28/$F$6,0)</f>
        <v>0</v>
      </c>
      <c r="F28" s="160"/>
      <c r="G28" s="160"/>
      <c r="H28" s="160"/>
      <c r="I28" s="160"/>
    </row>
    <row r="29" spans="1:9" s="161" customFormat="1" ht="12.60">
      <c r="A29" s="162">
        <f>A15</f>
        <v>0</v>
      </c>
      <c r="B29" s="159">
        <f>B15</f>
        <v>0</v>
      </c>
      <c r="C29" s="159">
        <f>IF(A29&lt;0,($F$6+A29)/$F$6,0)</f>
        <v>0</v>
      </c>
      <c r="D29" s="159">
        <f>B29*C29</f>
        <v>0</v>
      </c>
      <c r="E29" s="167">
        <f>IF(A29&lt;0,B29/$F$6,0)</f>
        <v>0</v>
      </c>
      <c r="F29" s="160"/>
      <c r="G29" s="160"/>
      <c r="H29" s="160"/>
      <c r="I29" s="160"/>
    </row>
    <row r="30" spans="1:9" s="161" customFormat="1" ht="12.60">
      <c r="A30" s="162">
        <f>A16</f>
        <v>0</v>
      </c>
      <c r="B30" s="159">
        <f>B16</f>
        <v>0</v>
      </c>
      <c r="C30" s="159">
        <f>IF(A30&lt;0,($F$6+A30)/$F$6,0)</f>
        <v>0</v>
      </c>
      <c r="D30" s="159">
        <f>B30*C30</f>
        <v>0</v>
      </c>
      <c r="E30" s="167">
        <f>IF(A30&lt;0,B30/$F$6,0)</f>
        <v>0</v>
      </c>
      <c r="F30" s="160"/>
      <c r="G30" s="160"/>
      <c r="H30" s="160"/>
      <c r="I30" s="160"/>
    </row>
    <row r="31" spans="1:9" s="161" customFormat="1" ht="12.60">
      <c r="A31" s="162">
        <f>A17</f>
        <v>0</v>
      </c>
      <c r="B31" s="159">
        <f>B17</f>
        <v>0</v>
      </c>
      <c r="C31" s="159">
        <f>IF(A31&lt;0,($F$6+A31)/$F$6,0)</f>
        <v>0</v>
      </c>
      <c r="D31" s="159">
        <f>B31*C31</f>
        <v>0</v>
      </c>
      <c r="E31" s="167">
        <f>IF(A31&lt;0,B31/$F$6,0)</f>
        <v>0</v>
      </c>
      <c r="F31" s="160"/>
      <c r="G31" s="160"/>
      <c r="H31" s="160"/>
      <c r="I31" s="160"/>
    </row>
    <row r="32" spans="1:9" s="161" customFormat="1" ht="12.60">
      <c r="A32" s="162">
        <f>A18</f>
        <v>0</v>
      </c>
      <c r="B32" s="159">
        <f>B18</f>
        <v>0</v>
      </c>
      <c r="C32" s="159">
        <f>IF(A32&lt;0,($F$6+A32)/$F$6,0)</f>
        <v>0</v>
      </c>
      <c r="D32" s="159">
        <f>B32*C32</f>
        <v>0</v>
      </c>
      <c r="E32" s="167">
        <f>IF(A32&lt;0,B32/$F$6,0)</f>
        <v>0</v>
      </c>
      <c r="F32" s="160"/>
      <c r="G32" s="160"/>
      <c r="H32" s="160"/>
      <c r="I32" s="160"/>
    </row>
    <row r="33" spans="1:9" s="161" customFormat="1" ht="12.60">
      <c r="A33" s="162">
        <f>A19</f>
        <v>0</v>
      </c>
      <c r="B33" s="159">
        <f>B19</f>
        <v>0</v>
      </c>
      <c r="C33" s="159">
        <f>IF(A33&lt;0,($F$6+A33)/$F$6,0)</f>
        <v>0</v>
      </c>
      <c r="D33" s="159">
        <f>B33*C33</f>
        <v>0</v>
      </c>
      <c r="E33" s="167">
        <f>IF(A33&lt;0,B33/$F$6,0)</f>
        <v>0</v>
      </c>
      <c r="F33" s="160"/>
      <c r="G33" s="160"/>
      <c r="H33" s="160"/>
      <c r="I33" s="160"/>
    </row>
    <row r="34" spans="1:9" s="161" customFormat="1" ht="16" customHeight="1">
      <c r="A34" s="162">
        <f>A20</f>
        <v>0</v>
      </c>
      <c r="B34" s="159">
        <f>B20</f>
        <v>0</v>
      </c>
      <c r="C34" s="159">
        <f>IF(A34&lt;0,($F$6+A34)/$F$6,0)</f>
        <v>0</v>
      </c>
      <c r="D34" s="168">
        <f>B34*C34</f>
        <v>0</v>
      </c>
      <c r="E34" s="169">
        <f>IF(A34&lt;0,B34/$F$6,0)</f>
        <v>0</v>
      </c>
      <c r="F34" s="160"/>
      <c r="G34" s="160"/>
      <c r="H34" s="160"/>
      <c r="I34" s="160"/>
    </row>
    <row r="35" spans="1:5" s="11" customFormat="1" ht="12.60">
      <c r="A35" s="11" t="s">
        <v>295</v>
      </c>
      <c r="D35" s="170">
        <f>SUM(D24:D34)</f>
        <v>30662.5</v>
      </c>
      <c r="E35" s="28">
        <f>SUM(E25:E34)</f>
        <v>14312.5</v>
      </c>
    </row>
    <row r="37" spans="1:4" s="11" customFormat="1" ht="12.60">
      <c r="A37" s="11" t="s">
        <v>296</v>
      </c>
      <c r="D37" s="170">
        <f>E35</f>
        <v>14312.5</v>
      </c>
    </row>
    <row r="38" spans="1:1" s="11" customFormat="1" ht="12.60"/>
    <row r="39" spans="1:5" s="11" customFormat="1" ht="12.60">
      <c r="A39" s="11" t="s">
        <v>297</v>
      </c>
      <c r="D39" s="171">
        <f>F7-D37</f>
        <v>8307.5</v>
      </c>
      <c r="E39" s="11" t="s">
        <v>298</v>
      </c>
    </row>
    <row r="40" spans="1:5">
      <c r="A40" t="s">
        <v>299</v>
      </c>
      <c r="D40" s="172">
        <f>D39*'Input sheet'!B21</f>
        <v>1993.79999999999995</v>
      </c>
      <c r="E40" s="11"/>
    </row>
  </sheetData>
  <conditionalFormatting sqref="B11:B20">
    <cfRule type="cellIs" dxfId="0" priority="1" stopIfTrue="1" operator="equal">
      <formula>0</formula>
    </cfRule>
  </conditionalFormatting>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pageOrder="overThenDown"/>
  <headerFooter>
    <extLst>
      <ext uri="smNativeData">
        <pm:header xmlns:pm="smNativeData" id="1696577006" l="56" r="56" t="56" b="56" borderId="0" fillId="0" vertical="0"/>
        <pm:footer xmlns:pm="smNativeData" id="1696577006" l="56" r="56" t="56" b="56" borderId="0" fillId="0" vertical="2"/>
      </ext>
    </extLst>
  </headerFooter>
  <legacyDrawing r:id="rId2"/>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K34"/>
  <sheetViews>
    <sheetView view="normal" zoomScale="125" workbookViewId="0">
      <selection activeCell="C22" sqref="C22"/>
    </sheetView>
  </sheetViews>
  <sheetFormatPr baseColWidth="10" defaultColWidth="11.500000" defaultRowHeight="11.50"/>
  <cols>
    <col min="2" max="2" width="12.755556" customWidth="1"/>
    <col min="3" max="3" width="23.000000" customWidth="1"/>
    <col min="6" max="6" width="12.488889" customWidth="1"/>
  </cols>
  <sheetData>
    <row r="1" spans="1:11" s="9" customFormat="1" ht="18.10">
      <c r="A1" s="32" t="s">
        <v>300</v>
      </c>
      <c r="B1" s="32"/>
      <c r="C1" s="32"/>
      <c r="D1" s="32"/>
      <c r="E1" s="32"/>
      <c r="F1" s="32"/>
      <c r="G1" s="32"/>
      <c r="H1" s="32"/>
      <c r="I1" s="32"/>
      <c r="J1" s="32"/>
      <c r="K1" s="32"/>
    </row>
    <row r="2" spans="1:11" s="9" customFormat="1" ht="18.10">
      <c r="A2" s="32" t="s">
        <v>301</v>
      </c>
      <c r="B2" s="32"/>
      <c r="C2" s="32"/>
      <c r="D2" s="32"/>
      <c r="E2" s="32"/>
      <c r="F2" s="32"/>
      <c r="G2" s="32"/>
      <c r="H2" s="32"/>
      <c r="I2" s="32"/>
      <c r="J2" s="32"/>
      <c r="K2" s="32"/>
    </row>
    <row r="3" spans="1:1" s="20" customFormat="1" ht="13.45">
      <c r="A3" s="20" t="s">
        <v>261</v>
      </c>
    </row>
    <row r="4" spans="1:5" s="11" customFormat="1" ht="12.60">
      <c r="A4" s="11" t="s">
        <v>302</v>
      </c>
      <c r="E4" s="36" t="n">
        <v>2200</v>
      </c>
    </row>
    <row r="5" spans="1:1" s="18" customFormat="1" ht="13.45">
      <c r="A5" s="18" t="s">
        <v>303</v>
      </c>
    </row>
    <row r="6" spans="1:3" s="11" customFormat="1" ht="12.60">
      <c r="A6" s="33" t="s">
        <v>201</v>
      </c>
      <c r="B6" s="33" t="s">
        <v>304</v>
      </c>
      <c r="C6" s="11" t="s">
        <v>305</v>
      </c>
    </row>
    <row r="7" spans="1:2" s="11" customFormat="1" ht="12.60">
      <c r="A7" s="33" t="n">
        <v>1</v>
      </c>
      <c r="B7" s="343" t="n">
        <v>2427</v>
      </c>
    </row>
    <row r="8" spans="1:2" s="11" customFormat="1" ht="12.60">
      <c r="A8" s="33" t="n">
        <v>2</v>
      </c>
      <c r="B8" s="343" t="n">
        <v>2376</v>
      </c>
    </row>
    <row r="9" spans="1:2" s="11" customFormat="1" ht="12.60">
      <c r="A9" s="33" t="n">
        <v>3</v>
      </c>
      <c r="B9" s="343" t="n">
        <v>2258</v>
      </c>
    </row>
    <row r="10" spans="1:2" s="11" customFormat="1" ht="12.60">
      <c r="A10" s="33" t="n">
        <v>4</v>
      </c>
      <c r="B10" s="343" t="n">
        <v>2039</v>
      </c>
    </row>
    <row r="11" spans="1:2" s="11" customFormat="1" ht="12.60">
      <c r="A11" s="33" t="n">
        <v>5</v>
      </c>
      <c r="B11" s="343" t="n">
        <v>1813</v>
      </c>
    </row>
    <row r="12" spans="1:2" s="11" customFormat="1" ht="12.60">
      <c r="A12" s="33" t="s">
        <v>306</v>
      </c>
      <c r="B12" s="296" t="n">
        <v>11935</v>
      </c>
    </row>
    <row r="13" spans="1:1" s="11" customFormat="1" ht="12.60"/>
    <row r="14" spans="1:1" s="34" customFormat="1" ht="15.80">
      <c r="A14" s="34" t="s">
        <v>290</v>
      </c>
    </row>
    <row r="15" spans="1:4" s="11" customFormat="1" ht="12.60">
      <c r="A15" s="11" t="s">
        <v>307</v>
      </c>
      <c r="C15" s="73">
        <f>'Cost of capital worksheet'!B23</f>
        <v>0.0413000000000000078</v>
      </c>
      <c r="D15" s="11" t="s">
        <v>308</v>
      </c>
    </row>
    <row r="16" spans="1:1" s="11" customFormat="1" ht="12.60"/>
    <row r="17" spans="4:4" s="11" customFormat="1" ht="12.60">
      <c r="D17" s="29"/>
    </row>
    <row r="18" spans="1:5" s="11" customFormat="1" ht="12.60">
      <c r="A18" s="11" t="s">
        <v>309</v>
      </c>
      <c r="D18" s="37">
        <f>IF(B12&gt;0,ROUND(B12/AVERAGE(B7:B11),0),0)</f>
        <v>5</v>
      </c>
      <c r="E18" s="11" t="s">
        <v>310</v>
      </c>
    </row>
    <row r="19" spans="5:5" s="20" customFormat="1" ht="13.45">
      <c r="E19" s="11" t="s">
        <v>311</v>
      </c>
    </row>
    <row r="20" spans="1:1" s="18" customFormat="1" ht="13.45">
      <c r="A20" s="18" t="s">
        <v>312</v>
      </c>
    </row>
    <row r="21" spans="1:3" s="11" customFormat="1" ht="12.60">
      <c r="A21" s="33" t="s">
        <v>201</v>
      </c>
      <c r="B21" s="33" t="s">
        <v>304</v>
      </c>
      <c r="C21" s="33" t="s">
        <v>222</v>
      </c>
    </row>
    <row r="22" spans="1:3" s="11" customFormat="1" ht="12.60">
      <c r="A22" s="22">
        <f>A7</f>
        <v>1</v>
      </c>
      <c r="B22" s="31">
        <f>B7</f>
        <v>2427</v>
      </c>
      <c r="C22" s="12">
        <f>B22/(1+$C$15)^A22</f>
        <v>2330.74042062805984</v>
      </c>
    </row>
    <row r="23" spans="1:3" s="11" customFormat="1" ht="12.60">
      <c r="A23" s="22">
        <f>A8</f>
        <v>2</v>
      </c>
      <c r="B23" s="31">
        <f>B8</f>
        <v>2376</v>
      </c>
      <c r="C23" s="12">
        <f>B23/(1+$C$15)^A23</f>
        <v>2191.26397833438023</v>
      </c>
    </row>
    <row r="24" spans="1:3" s="11" customFormat="1" ht="12.60">
      <c r="A24" s="22">
        <f>A9</f>
        <v>3</v>
      </c>
      <c r="B24" s="31">
        <f>B9</f>
        <v>2258</v>
      </c>
      <c r="C24" s="12">
        <f>B24/(1+$C$15)^A24</f>
        <v>1999.84498102080011</v>
      </c>
    </row>
    <row r="25" spans="1:3" s="11" customFormat="1" ht="12.60">
      <c r="A25" s="22">
        <f>A10</f>
        <v>4</v>
      </c>
      <c r="B25" s="31">
        <f>B10</f>
        <v>2039</v>
      </c>
      <c r="C25" s="12">
        <f>B25/(1+$C$15)^A25</f>
        <v>1734.25818237415001</v>
      </c>
    </row>
    <row r="26" spans="1:3" s="11" customFormat="1" ht="12.60">
      <c r="A26" s="22">
        <f>A11</f>
        <v>5</v>
      </c>
      <c r="B26" s="31">
        <f>B11</f>
        <v>1813</v>
      </c>
      <c r="C26" s="12">
        <f>B26/(1+$C$15)^A26</f>
        <v>1480.87520689507005</v>
      </c>
    </row>
    <row r="27" spans="1:4" s="11" customFormat="1" ht="12.60">
      <c r="A27" s="38" t="str">
        <f>A12</f>
        <v>6 and beyond</v>
      </c>
      <c r="B27" s="39">
        <f>IF(B12&gt;0,IF(D18&gt;0,B12/D18,B12),0)</f>
        <v>2387</v>
      </c>
      <c r="C27" s="40">
        <f>IF(D18&gt;0,(B27*(1-(1+C15)^(-D18))/C15)/(1+$C$15)^5,B27/(1+C15)^6)</f>
        <v>8648.21580183954029</v>
      </c>
      <c r="D27" s="11" t="s">
        <v>313</v>
      </c>
    </row>
    <row r="28" spans="1:3" s="11" customFormat="1" ht="12.60">
      <c r="A28" s="35" t="s">
        <v>314</v>
      </c>
      <c r="B28" s="41"/>
      <c r="C28" s="42">
        <f>SUM(C22:C27)</f>
        <v>18385.1985710920017</v>
      </c>
    </row>
    <row r="29" spans="1:1" s="11" customFormat="1" ht="12.60"/>
    <row r="30" spans="1:1" s="11" customFormat="1" ht="12.60">
      <c r="A30" s="18" t="s">
        <v>315</v>
      </c>
    </row>
    <row r="31" spans="1:7" s="11" customFormat="1" ht="12.60">
      <c r="A31" s="11" t="s">
        <v>316</v>
      </c>
      <c r="F31" s="40">
        <f>C28/(5+D18)</f>
        <v>1838.51985710920007</v>
      </c>
      <c r="G31" s="11" t="s">
        <v>317</v>
      </c>
    </row>
    <row r="32" spans="1:7" s="11" customFormat="1" ht="12.60">
      <c r="A32" s="11" t="s">
        <v>318</v>
      </c>
      <c r="F32" s="74">
        <f>E4-F31</f>
        <v>361.480142890799982</v>
      </c>
      <c r="G32" s="11" t="s">
        <v>319</v>
      </c>
    </row>
    <row r="33" spans="1:7" s="11" customFormat="1" ht="12.60">
      <c r="A33" s="11" t="s">
        <v>320</v>
      </c>
      <c r="F33" s="43">
        <f>C28</f>
        <v>18385.1985710920017</v>
      </c>
      <c r="G33" s="11" t="s">
        <v>321</v>
      </c>
    </row>
    <row r="34" spans="1:6">
      <c r="A34" s="11" t="s">
        <v>322</v>
      </c>
      <c r="F34" s="212">
        <f>C28/(5+D18)</f>
        <v>1838.51985710920007</v>
      </c>
    </row>
  </sheetData>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pageOrder="overThenDown"/>
  <headerFooter>
    <extLst>
      <ext uri="smNativeData">
        <pm:header xmlns:pm="smNativeData" id="1696577006" l="56" r="56" t="56" b="56" borderId="0" fillId="0" vertical="0"/>
        <pm:footer xmlns:pm="smNativeData" id="1696577006" l="56" r="56" t="56" b="56" borderId="0" fillId="0" vertical="2"/>
      </ext>
    </extLst>
  </headerFooter>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xmlns:mc="http://schemas.openxmlformats.org/markup-compatibility/2006">
  <dimension ref="A1:Q62"/>
  <sheetViews>
    <sheetView view="normal" workbookViewId="0">
      <selection activeCell="D24" sqref="D24"/>
    </sheetView>
  </sheetViews>
  <sheetFormatPr baseColWidth="10" defaultColWidth="11.500000" defaultRowHeight="11.50"/>
  <cols>
    <col min="1" max="1" width="40.166667" customWidth="1"/>
    <col min="2" max="2" width="21.044444" customWidth="1"/>
    <col min="3" max="3" width="12.488889" customWidth="1"/>
    <col min="5" max="5" width="15.266667" customWidth="1"/>
    <col min="7" max="7" width="19.500000" customWidth="1"/>
    <col min="8" max="8" width="16.333333" customWidth="1"/>
    <col min="10" max="10" width="15.777778" customWidth="1"/>
    <col min="11" max="11" width="18.166667" customWidth="1"/>
  </cols>
  <sheetData>
    <row r="1" spans="1:7" s="101" customFormat="1" ht="18.10">
      <c r="A1" s="101" t="s">
        <v>323</v>
      </c>
      <c r="B1" s="217"/>
      <c r="C1" s="209"/>
      <c r="G1" s="109" t="s">
        <v>324</v>
      </c>
    </row>
    <row r="2" spans="1:11" s="17" customFormat="1" ht="15" customHeight="1">
      <c r="A2" s="17" t="s">
        <v>261</v>
      </c>
      <c r="B2" s="216"/>
      <c r="C2" s="209"/>
      <c r="G2" s="141" t="s">
        <v>325</v>
      </c>
      <c r="H2" s="141" t="s">
        <v>38</v>
      </c>
      <c r="I2" s="141" t="s">
        <v>326</v>
      </c>
      <c r="J2" s="141" t="s">
        <v>327</v>
      </c>
      <c r="K2" s="141" t="s">
        <v>328</v>
      </c>
    </row>
    <row r="3" spans="1:17" s="11" customFormat="1" ht="15" customHeight="1">
      <c r="A3" s="20" t="s">
        <v>329</v>
      </c>
      <c r="G3" s="139" t="s">
        <v>330</v>
      </c>
      <c r="H3" s="139" t="n">
        <v>120486</v>
      </c>
      <c r="I3" s="13">
        <f>IF(H3=0,0,VLOOKUP(G3,'Country equity risk premiums'!$A$2:$D$187,4))</f>
        <v>0.0508000000000000007</v>
      </c>
      <c r="J3" s="13">
        <f>IF(H3&gt;0,H3/$H$16,)</f>
        <v>0.677397591445244984</v>
      </c>
      <c r="K3" s="13">
        <f>IF(J3=0,0,I3*J3)</f>
        <v>0.0344117976454179963</v>
      </c>
      <c r="M3" s="413" t="s">
        <v>331</v>
      </c>
      <c r="N3" s="413"/>
      <c r="O3" s="413"/>
      <c r="P3" s="413"/>
      <c r="Q3" s="413"/>
    </row>
    <row r="4" spans="1:17" s="11" customFormat="1" ht="15" customHeight="1">
      <c r="A4" s="11" t="s">
        <v>332</v>
      </c>
      <c r="B4" s="15">
        <f>'Input sheet'!B18</f>
        <v>497</v>
      </c>
      <c r="G4" s="139" t="s">
        <v>333</v>
      </c>
      <c r="H4" s="139" t="n">
        <v>16951</v>
      </c>
      <c r="I4" s="13">
        <f>IF(H4=0,0,VLOOKUP(G4,'Country equity risk premiums'!$A$2:$D$187,4))</f>
        <v>0.0508000000000000007</v>
      </c>
      <c r="J4" s="13">
        <f>IF(H4&gt;0,H4/$H$16,)</f>
        <v>0.0953020813421339952</v>
      </c>
      <c r="K4" s="13">
        <f>IF(J4=0,0,I4*J4)</f>
        <v>0.00484134573218000064</v>
      </c>
      <c r="M4" s="413"/>
      <c r="N4" s="413"/>
      <c r="O4" s="413"/>
      <c r="P4" s="413"/>
      <c r="Q4" s="413"/>
    </row>
    <row r="5" spans="1:17" s="11" customFormat="1" ht="15" customHeight="1">
      <c r="A5" s="11" t="s">
        <v>334</v>
      </c>
      <c r="B5" s="31">
        <f>'Input sheet'!B19</f>
        <v>1970.19000000000005</v>
      </c>
      <c r="G5" s="139" t="s">
        <v>335</v>
      </c>
      <c r="H5" s="139" t="n">
        <v>11372</v>
      </c>
      <c r="I5" s="13">
        <f>IF(H5=0,0,VLOOKUP(G5,'Country equity risk premiums'!$A$2:$D$187,4))</f>
        <v>0.0565201482060170068</v>
      </c>
      <c r="J5" s="13">
        <f>IF(H5&gt;0,H5/$H$16,)</f>
        <v>0.0639357718732079938</v>
      </c>
      <c r="K5" s="13">
        <f>IF(J5=0,0,I5*J5)</f>
        <v>0.00361365930193999985</v>
      </c>
      <c r="M5" s="413"/>
      <c r="N5" s="413"/>
      <c r="O5" s="413"/>
      <c r="P5" s="413"/>
      <c r="Q5" s="413"/>
    </row>
    <row r="6" spans="2:17" s="11" customFormat="1" ht="15" customHeight="1">
      <c r="G6" s="139" t="s">
        <v>336</v>
      </c>
      <c r="H6" s="139" t="n">
        <v>11907</v>
      </c>
      <c r="I6" s="13">
        <f>IF(H6=0,0,VLOOKUP(G6,'Country equity risk premiums'!$A$2:$D$187,4))</f>
        <v>0.0589122101830790079</v>
      </c>
      <c r="J6" s="13">
        <f>IF(H6&gt;0,H6/$H$16,)</f>
        <v>0.0669436542115979893</v>
      </c>
      <c r="K6" s="13">
        <f>IF(J6=0,0,I6*J6)</f>
        <v>0.00394379862733700026</v>
      </c>
      <c r="M6" s="413"/>
      <c r="N6" s="413"/>
      <c r="O6" s="413"/>
      <c r="P6" s="413"/>
      <c r="Q6" s="413"/>
    </row>
    <row r="7" spans="1:17" s="11" customFormat="1" ht="15" customHeight="1">
      <c r="A7" s="11" t="s">
        <v>337</v>
      </c>
      <c r="B7" s="139" t="s">
        <v>338</v>
      </c>
      <c r="G7" s="139"/>
      <c r="H7" s="139"/>
      <c r="I7" s="13">
        <f>IF(H7=0,0,VLOOKUP(G7,'Country equity risk premiums'!$A$2:$D$187,4))</f>
        <v>0</v>
      </c>
      <c r="J7" s="13">
        <f>IF(H7&gt;0,H7/$H$16,)</f>
        <v>0</v>
      </c>
      <c r="K7" s="13">
        <f>IF(J7=0,0,I7*J7)</f>
        <v>0</v>
      </c>
      <c r="M7" s="413"/>
      <c r="N7" s="413"/>
      <c r="O7" s="413"/>
      <c r="P7" s="413"/>
      <c r="Q7" s="413"/>
    </row>
    <row r="8" spans="1:17" s="11" customFormat="1" ht="15" customHeight="1">
      <c r="A8" s="11" t="s">
        <v>339</v>
      </c>
      <c r="B8" s="210" t="n">
        <v>1.19999999999999996</v>
      </c>
      <c r="G8" s="139"/>
      <c r="H8" s="139"/>
      <c r="I8" s="13">
        <f>IF(H8=0,0,VLOOKUP(G8,'Country equity risk premiums'!$A$2:$D$187,4))</f>
        <v>0</v>
      </c>
      <c r="J8" s="13">
        <f>IF(H8&gt;0,H8/$H$16,)</f>
        <v>0</v>
      </c>
      <c r="K8" s="13">
        <f>IF(J8=0,0,I8*J8)</f>
        <v>0</v>
      </c>
      <c r="M8" s="413"/>
      <c r="N8" s="413"/>
      <c r="O8" s="413"/>
      <c r="P8" s="413"/>
      <c r="Q8" s="413"/>
    </row>
    <row r="9" spans="1:17" s="11" customFormat="1" ht="15" customHeight="1">
      <c r="A9" s="11" t="s">
        <v>340</v>
      </c>
      <c r="B9" s="144">
        <f>IF(B7="Single Business(US)",VLOOKUP('Input sheet'!B6,'Industry Averages(US)'!A2:G95,7),IF(B7="Multibusiness(US)",K46,IF(B7="Single Business(Global)",VLOOKUP('Input sheet'!B7,'Global industry averages'!A2:G95,7),'Cost of capital worksheet'!K62)))</f>
        <v>0.950939339462760991</v>
      </c>
      <c r="G9" s="139"/>
      <c r="H9" s="139"/>
      <c r="I9" s="13">
        <f>IF(H9=0,0,VLOOKUP(G9,'Country equity risk premiums'!$A$2:$D$187,4))</f>
        <v>0</v>
      </c>
      <c r="J9" s="13">
        <f>IF(H9&gt;0,H9/$H$16,)</f>
        <v>0</v>
      </c>
      <c r="K9" s="13">
        <f>IF(J9=0,0,I9*J9)</f>
        <v>0</v>
      </c>
      <c r="M9" s="413"/>
      <c r="N9" s="413"/>
      <c r="O9" s="413"/>
      <c r="P9" s="413"/>
      <c r="Q9" s="413"/>
    </row>
    <row r="10" spans="1:17" s="11" customFormat="1" ht="15" customHeight="1">
      <c r="A10" s="11" t="s">
        <v>341</v>
      </c>
      <c r="B10" s="14">
        <f>'Input sheet'!B28</f>
        <v>0.03</v>
      </c>
      <c r="G10" s="139"/>
      <c r="H10" s="139"/>
      <c r="I10" s="13">
        <f>IF(H10=0,0,VLOOKUP(G10,'Country equity risk premiums'!$A$2:$D$187,4))</f>
        <v>0</v>
      </c>
      <c r="J10" s="13">
        <f>IF(H10&gt;0,H10/$H$16,)</f>
        <v>0</v>
      </c>
      <c r="K10" s="13">
        <f>IF(J10=0,0,I10*J10)</f>
        <v>0</v>
      </c>
      <c r="M10" s="413"/>
      <c r="N10" s="413"/>
      <c r="O10" s="413"/>
      <c r="P10" s="413"/>
      <c r="Q10" s="413"/>
    </row>
    <row r="11" spans="1:17" s="11" customFormat="1" ht="15" customHeight="1">
      <c r="A11" s="11" t="s">
        <v>342</v>
      </c>
      <c r="B11" s="203" t="s">
        <v>343</v>
      </c>
      <c r="G11" s="139"/>
      <c r="H11" s="139"/>
      <c r="I11" s="13">
        <f>IF(H11=0,0,VLOOKUP(G11,'Country equity risk premiums'!$A$2:$D$187,4))</f>
        <v>0</v>
      </c>
      <c r="J11" s="13">
        <f>IF(H11&gt;0,H11/$H$16,)</f>
        <v>0</v>
      </c>
      <c r="K11" s="13">
        <f>IF(J11=0,0,I11*J11)</f>
        <v>0</v>
      </c>
      <c r="M11" s="413"/>
      <c r="N11" s="413"/>
      <c r="O11" s="413"/>
      <c r="P11" s="413"/>
      <c r="Q11" s="413"/>
    </row>
    <row r="12" spans="1:17" s="11" customFormat="1" ht="15" customHeight="1">
      <c r="A12" s="11" t="s">
        <v>344</v>
      </c>
      <c r="B12" s="203" t="n">
        <v>0.05</v>
      </c>
      <c r="G12" s="139"/>
      <c r="H12" s="139"/>
      <c r="I12" s="13">
        <f>IF(H12=0,0,VLOOKUP(G12,'Country equity risk premiums'!$A$2:$D$187,4))</f>
        <v>0</v>
      </c>
      <c r="J12" s="13">
        <f>IF(H12&gt;0,H12/$H$16,)</f>
        <v>0</v>
      </c>
      <c r="K12" s="13">
        <f>IF(J12=0,0,I12*J12)</f>
        <v>0</v>
      </c>
      <c r="M12" s="413"/>
      <c r="N12" s="413"/>
      <c r="O12" s="413"/>
      <c r="P12" s="413"/>
      <c r="Q12" s="413"/>
    </row>
    <row r="13" spans="1:17" s="11" customFormat="1" ht="15" customHeight="1">
      <c r="A13" s="11" t="s">
        <v>345</v>
      </c>
      <c r="B13" s="204">
        <f>IF(B11="Will Input",B12,IF(B11="Country of Incorporation",VLOOKUP('Input sheet'!B5,'Country equity risk premiums'!A2:E187,4),IF(B11="Operating regions",'Cost of capital worksheet'!K30,'Cost of capital worksheet'!K16)))</f>
        <v>0.0527983392669120022</v>
      </c>
      <c r="G13" s="139"/>
      <c r="H13" s="139"/>
      <c r="I13" s="13">
        <f>IF(H13=0,0,VLOOKUP(G13,'Country equity risk premiums'!$A$2:$D$187,4))</f>
        <v>0</v>
      </c>
      <c r="J13" s="13">
        <f>IF(H13&gt;0,H13/$H$16,)</f>
        <v>0</v>
      </c>
      <c r="K13" s="13">
        <f>IF(J13=0,0,I13*J13)</f>
        <v>0</v>
      </c>
      <c r="M13" s="413"/>
      <c r="N13" s="413"/>
      <c r="O13" s="413"/>
      <c r="P13" s="413"/>
      <c r="Q13" s="413"/>
    </row>
    <row r="14" spans="2:17" s="11" customFormat="1" ht="15" customHeight="1">
      <c r="G14" s="291"/>
      <c r="H14" s="139"/>
      <c r="I14" s="291"/>
      <c r="J14" s="13">
        <f>IF(H14&gt;0,H14/$H$16,)</f>
        <v>0</v>
      </c>
      <c r="K14" s="13">
        <f>IF(J14=0,0,I14*J14)</f>
        <v>0</v>
      </c>
      <c r="M14" s="413"/>
      <c r="N14" s="413"/>
      <c r="O14" s="413"/>
      <c r="P14" s="413"/>
      <c r="Q14" s="413"/>
    </row>
    <row r="15" spans="1:17" s="11" customFormat="1" ht="15" customHeight="1">
      <c r="A15" s="20" t="s">
        <v>346</v>
      </c>
      <c r="G15" s="291" t="s">
        <v>347</v>
      </c>
      <c r="H15" s="139" t="n">
        <v>17150</v>
      </c>
      <c r="I15" s="342" t="n">
        <v>0.0620999999999999996</v>
      </c>
      <c r="J15" s="13">
        <f>IF(H15&gt;0,H15/$H$16,)</f>
        <v>0.096420901127814993</v>
      </c>
      <c r="K15" s="13">
        <f>IF(J15=0,0,I15*J15)</f>
        <v>0.00598773796003700021</v>
      </c>
      <c r="M15" s="413"/>
      <c r="N15" s="413"/>
      <c r="O15" s="413"/>
      <c r="P15" s="413"/>
      <c r="Q15" s="413"/>
    </row>
    <row r="16" spans="1:17" s="11" customFormat="1" ht="15" customHeight="1">
      <c r="A16" s="11" t="s">
        <v>348</v>
      </c>
      <c r="B16" s="31">
        <f>'Input sheet'!B12</f>
        <v>27050</v>
      </c>
      <c r="G16" s="140" t="s">
        <v>349</v>
      </c>
      <c r="H16" s="140">
        <f>SUM(H3:H15)</f>
        <v>177866</v>
      </c>
      <c r="I16" s="140"/>
      <c r="J16" s="13">
        <f>SUM(J3:J15)</f>
        <v>1</v>
      </c>
      <c r="K16" s="13">
        <f>SUM(K3:K15)</f>
        <v>0.0527983392669120022</v>
      </c>
      <c r="M16" s="413"/>
      <c r="N16" s="413"/>
      <c r="O16" s="413"/>
      <c r="P16" s="413"/>
      <c r="Q16" s="413"/>
    </row>
    <row r="17" spans="1:17" s="11" customFormat="1" ht="15" customHeight="1">
      <c r="A17" s="11" t="s">
        <v>350</v>
      </c>
      <c r="B17" s="31">
        <f>'Input sheet'!B10</f>
        <v>1239</v>
      </c>
      <c r="G17" s="109" t="s">
        <v>351</v>
      </c>
      <c r="M17" s="413"/>
      <c r="N17" s="413"/>
      <c r="O17" s="413"/>
      <c r="P17" s="413"/>
      <c r="Q17" s="413"/>
    </row>
    <row r="18" spans="1:11" s="11" customFormat="1" ht="15" customHeight="1">
      <c r="A18" s="11" t="s">
        <v>352</v>
      </c>
      <c r="B18" s="102" t="n">
        <v>3</v>
      </c>
      <c r="G18" s="22" t="s">
        <v>353</v>
      </c>
      <c r="H18" s="22" t="s">
        <v>38</v>
      </c>
      <c r="I18" s="22" t="s">
        <v>326</v>
      </c>
      <c r="J18" s="22" t="s">
        <v>327</v>
      </c>
      <c r="K18" s="22" t="s">
        <v>328</v>
      </c>
    </row>
    <row r="19" spans="1:11" s="11" customFormat="1" ht="15" customHeight="1">
      <c r="A19" s="11" t="s">
        <v>354</v>
      </c>
      <c r="B19" s="112" t="s">
        <v>355</v>
      </c>
      <c r="G19" s="22" t="str">
        <f>'Country equity risk premiums'!A191</f>
        <v>Africa &amp; Mid East</v>
      </c>
      <c r="H19" s="139" t="n">
        <v>0</v>
      </c>
      <c r="I19" s="27">
        <f>'Country equity risk premiums'!B191</f>
        <v>0.0810973573193420094</v>
      </c>
      <c r="J19" s="13">
        <f>H19/$H$30</f>
        <v>0</v>
      </c>
      <c r="K19" s="142">
        <f>I19*J19</f>
        <v>0</v>
      </c>
    </row>
    <row r="20" spans="1:11" s="11" customFormat="1" ht="15" customHeight="1">
      <c r="A20" s="11" t="s">
        <v>356</v>
      </c>
      <c r="B20" s="205" t="n">
        <v>0.0350000000000000044</v>
      </c>
      <c r="G20" s="22" t="str">
        <f>'Country equity risk premiums'!A192</f>
        <v>Australia, NZ &amp; Canada</v>
      </c>
      <c r="H20" s="139">
        <f>3159+4281</f>
        <v>7440</v>
      </c>
      <c r="I20" s="27">
        <f>'Country equity risk premiums'!B192</f>
        <v>0.0508213236594340056</v>
      </c>
      <c r="J20" s="13">
        <f>H20/$H$30</f>
        <v>0.0734423122482820023</v>
      </c>
      <c r="K20" s="142">
        <f>I20*J20</f>
        <v>0.00373243552106699994</v>
      </c>
    </row>
    <row r="21" spans="1:11" s="11" customFormat="1" ht="15" customHeight="1">
      <c r="A21" s="11" t="s">
        <v>357</v>
      </c>
      <c r="B21" s="112" t="s">
        <v>358</v>
      </c>
      <c r="G21" s="22" t="str">
        <f>'Country equity risk premiums'!A193</f>
        <v>Latin America &amp; Caribbean</v>
      </c>
      <c r="H21" s="139"/>
      <c r="I21" s="27">
        <f>'Country equity risk premiums'!B193</f>
        <v>0.0875049409395330002</v>
      </c>
      <c r="J21" s="13">
        <f>H21/$H$30</f>
        <v>0</v>
      </c>
      <c r="K21" s="142">
        <f>I21*J21</f>
        <v>0</v>
      </c>
    </row>
    <row r="22" spans="1:11" s="11" customFormat="1" ht="15" customHeight="1">
      <c r="A22" s="11" t="s">
        <v>359</v>
      </c>
      <c r="B22" s="112" t="n">
        <v>1</v>
      </c>
      <c r="G22" s="22" t="str">
        <f>'Country equity risk premiums'!A194</f>
        <v>Japan</v>
      </c>
      <c r="H22" s="139" t="n">
        <v>0</v>
      </c>
      <c r="I22" s="27">
        <f>'Country equity risk premiums'!B194</f>
        <v>0.0589122101830790079</v>
      </c>
      <c r="J22" s="13">
        <f>H22/$H$30</f>
        <v>0</v>
      </c>
      <c r="K22" s="142">
        <f>I22*J22</f>
        <v>0</v>
      </c>
    </row>
    <row r="23" spans="1:11" s="11" customFormat="1" ht="15" customHeight="1">
      <c r="A23" s="11" t="s">
        <v>307</v>
      </c>
      <c r="B23" s="204">
        <f>IF(B19="Direct Input",B20,IF(B19="Synthetic Rating",'Synthetic rating'!D13,B10+VLOOKUP('Cost of capital worksheet'!B21,'Synthetic rating'!G39:H53,2)))</f>
        <v>0.0413000000000000078</v>
      </c>
      <c r="G23" s="22" t="str">
        <f>'Country equity risk premiums'!A195</f>
        <v>US</v>
      </c>
      <c r="H23" s="139" t="n">
        <v>0</v>
      </c>
      <c r="I23" s="27">
        <f>'Country equity risk premiums'!B195</f>
        <v>0.0508000000000000007</v>
      </c>
      <c r="J23" s="13">
        <f>H23/$H$30</f>
        <v>0</v>
      </c>
      <c r="K23" s="142">
        <f>I23*J23</f>
        <v>0</v>
      </c>
    </row>
    <row r="24" spans="1:11" s="11" customFormat="1" ht="15" customHeight="1">
      <c r="A24" s="11" t="s">
        <v>360</v>
      </c>
      <c r="B24" s="207">
        <f>'Input sheet'!B21</f>
        <v>0.239999999999999991</v>
      </c>
      <c r="G24" s="22" t="str">
        <f>'Country equity risk premiums'!A196</f>
        <v>Europe</v>
      </c>
      <c r="H24" s="139"/>
      <c r="I24" s="27">
        <f>'Country equity risk premiums'!B196</f>
        <v>0.0600581300256449957</v>
      </c>
      <c r="J24" s="13">
        <f>H24/$H$30</f>
        <v>0</v>
      </c>
      <c r="K24" s="142">
        <f>I24*J24</f>
        <v>0</v>
      </c>
    </row>
    <row r="25" spans="2:11" s="11" customFormat="1" ht="15" customHeight="1">
      <c r="G25" s="22" t="str">
        <f>'Country equity risk premiums'!A197</f>
        <v>Emerging Markets</v>
      </c>
      <c r="H25" s="139" t="n">
        <v>0</v>
      </c>
      <c r="I25" s="27">
        <f>'Country equity risk premiums'!B197</f>
        <v>0.0714100100784740022</v>
      </c>
      <c r="J25" s="13">
        <f>H25/$H$30</f>
        <v>0</v>
      </c>
      <c r="K25" s="142">
        <f>I25*J25</f>
        <v>0</v>
      </c>
    </row>
    <row r="26" spans="1:11" s="11" customFormat="1" ht="15" customHeight="1">
      <c r="A26" s="11" t="s">
        <v>361</v>
      </c>
      <c r="B26" s="102" t="n">
        <v>0</v>
      </c>
      <c r="G26" s="22" t="str">
        <f>'Country equity risk premiums'!A198</f>
        <v>Small Asia (No India, China &amp; Japan)</v>
      </c>
      <c r="H26" s="139" t="n">
        <v>93864</v>
      </c>
      <c r="I26" s="27">
        <f>'Country equity risk premiums'!B198</f>
        <v>0.0692637976574060055</v>
      </c>
      <c r="J26" s="13">
        <f>H26/$H$30</f>
        <v>0.926557687751718007</v>
      </c>
      <c r="K26" s="142">
        <f>I26*J26</f>
        <v>0.0641769042023490055</v>
      </c>
    </row>
    <row r="27" spans="1:11" s="11" customFormat="1" ht="15" customHeight="1">
      <c r="A27" s="11" t="s">
        <v>362</v>
      </c>
      <c r="B27" s="102" t="n">
        <v>0</v>
      </c>
      <c r="G27" s="22" t="str">
        <f>'Country equity risk premiums'!A199</f>
        <v>North America</v>
      </c>
      <c r="H27" s="139"/>
      <c r="I27" s="27">
        <f>'Country equity risk premiums'!B199</f>
        <v>0.0508000000000000007</v>
      </c>
      <c r="J27" s="13">
        <f>H27/$H$30</f>
        <v>0</v>
      </c>
      <c r="K27" s="142">
        <f>I27*J27</f>
        <v>0</v>
      </c>
    </row>
    <row r="28" spans="1:11" s="11" customFormat="1" ht="15" customHeight="1">
      <c r="A28" s="11" t="s">
        <v>363</v>
      </c>
      <c r="B28" s="102" t="n">
        <v>0</v>
      </c>
      <c r="G28" s="139"/>
      <c r="H28" s="139"/>
      <c r="I28" s="292"/>
      <c r="J28" s="13">
        <f>H28/$H$30</f>
        <v>0</v>
      </c>
      <c r="K28" s="142">
        <f>I28*J28</f>
        <v>0</v>
      </c>
    </row>
    <row r="29" spans="1:11" s="11" customFormat="1" ht="15" customHeight="1">
      <c r="A29" s="11" t="s">
        <v>364</v>
      </c>
      <c r="B29" s="102" t="n">
        <v>0</v>
      </c>
      <c r="G29" s="139"/>
      <c r="H29" s="139"/>
      <c r="I29" s="292"/>
      <c r="J29" s="13">
        <f>H29/$H$30</f>
        <v>0</v>
      </c>
      <c r="K29" s="142">
        <f>I29*J29</f>
        <v>0</v>
      </c>
    </row>
    <row r="30" spans="2:11" s="11" customFormat="1" ht="15" customHeight="1">
      <c r="G30" s="140" t="s">
        <v>349</v>
      </c>
      <c r="H30" s="140">
        <f>SUM(H19:H29)</f>
        <v>101304</v>
      </c>
      <c r="I30" s="14"/>
      <c r="J30" s="13">
        <f>SUM(J19:J29)</f>
        <v>1</v>
      </c>
      <c r="K30" s="143">
        <f>SUM(K19:K29)</f>
        <v>0.067909339723416009</v>
      </c>
    </row>
    <row r="31" spans="1:2" s="11" customFormat="1" ht="15" customHeight="1">
      <c r="A31" s="11" t="s">
        <v>365</v>
      </c>
      <c r="B31" s="31">
        <f>IF('Input sheet'!B14="Yes",'Operating lease converter'!F33,0)</f>
        <v>18385.1985710920017</v>
      </c>
    </row>
    <row r="32" spans="2:7" s="11" customFormat="1" ht="15" customHeight="1">
      <c r="G32" s="101" t="s">
        <v>366</v>
      </c>
    </row>
    <row r="33" spans="1:11" s="11" customFormat="1" ht="15" customHeight="1">
      <c r="A33" s="20" t="s">
        <v>367</v>
      </c>
      <c r="G33" s="22" t="s">
        <v>368</v>
      </c>
      <c r="H33" s="22" t="s">
        <v>38</v>
      </c>
      <c r="I33" s="22" t="s">
        <v>369</v>
      </c>
      <c r="J33" s="22" t="s">
        <v>370</v>
      </c>
      <c r="K33" s="22" t="s">
        <v>371</v>
      </c>
    </row>
    <row r="34" spans="1:11" s="11" customFormat="1" ht="15" customHeight="1">
      <c r="A34" s="11" t="s">
        <v>372</v>
      </c>
      <c r="B34" s="102" t="n">
        <v>0</v>
      </c>
      <c r="G34" s="139" t="s">
        <v>373</v>
      </c>
      <c r="H34" s="150" t="n">
        <v>70</v>
      </c>
      <c r="I34" s="151">
        <f>IF(G34=0,,VLOOKUP(G34,'Industry Averages(US)'!$A$2:$S$95,15))</f>
        <v>1.66386966000153986</v>
      </c>
      <c r="J34" s="152">
        <f>H34*I34</f>
        <v>116.470876200107995</v>
      </c>
      <c r="K34" s="151">
        <f>IF(I34=0,0,VLOOKUP(G34,'Industry Averages(US)'!$A$2:$S$95,7))</f>
        <v>0.784278970594291991</v>
      </c>
    </row>
    <row r="35" spans="1:11" s="11" customFormat="1" ht="15" customHeight="1">
      <c r="A35" s="11" t="s">
        <v>374</v>
      </c>
      <c r="B35" s="102" t="n">
        <v>70</v>
      </c>
      <c r="G35" s="139" t="s">
        <v>375</v>
      </c>
      <c r="H35" s="150" t="n">
        <v>30</v>
      </c>
      <c r="I35" s="151">
        <f>IF(G35=0,,VLOOKUP(G35,'Industry Averages(US)'!$A$2:$S$95,15))</f>
        <v>1.33778091694970991</v>
      </c>
      <c r="J35" s="152">
        <f>H35*I35</f>
        <v>40.1334275084913017</v>
      </c>
      <c r="K35" s="151">
        <f>IF(I35=0,0,VLOOKUP(G35,'Industry Averages(US)'!$A$2:$S$95,7))</f>
        <v>0.94403176532379991</v>
      </c>
    </row>
    <row r="36" spans="1:11" s="11" customFormat="1" ht="15" customHeight="1">
      <c r="A36" s="11" t="s">
        <v>376</v>
      </c>
      <c r="B36" s="102" t="n">
        <v>5</v>
      </c>
      <c r="G36" s="139"/>
      <c r="H36" s="150"/>
      <c r="I36" s="151">
        <f>IF(G36=0,,VLOOKUP(G36,'Industry Averages(US)'!$A$2:$S$95,15))</f>
        <v>0</v>
      </c>
      <c r="J36" s="152">
        <f>H36*I36</f>
        <v>0</v>
      </c>
      <c r="K36" s="151">
        <f>IF(I36=0,0,VLOOKUP(G36,'Industry Averages(US)'!$A$2:$S$95,7))</f>
        <v>0</v>
      </c>
    </row>
    <row r="37" spans="7:11" s="11" customFormat="1" ht="15" customHeight="1">
      <c r="G37" s="139"/>
      <c r="H37" s="150"/>
      <c r="I37" s="151">
        <f>IF(G37=0,,VLOOKUP(G37,'Industry Averages(US)'!$A$2:$S$95,15))</f>
        <v>0</v>
      </c>
      <c r="J37" s="152">
        <f>H37*I37</f>
        <v>0</v>
      </c>
      <c r="K37" s="151">
        <f>IF(I37=0,0,VLOOKUP(G37,'Industry Averages(US)'!$A$2:$S$95,7))</f>
        <v>0</v>
      </c>
    </row>
    <row r="38" spans="1:11" s="103" customFormat="1" ht="15" customHeight="1">
      <c r="A38" s="17" t="s">
        <v>290</v>
      </c>
      <c r="B38" s="11"/>
      <c r="C38" s="11"/>
      <c r="D38" s="11"/>
      <c r="E38" s="11"/>
      <c r="F38" s="11"/>
      <c r="G38" s="139"/>
      <c r="H38" s="150"/>
      <c r="I38" s="151">
        <f>IF(G38=0,,VLOOKUP(G38,'Industry Averages(US)'!$A$2:$S$95,15))</f>
        <v>0</v>
      </c>
      <c r="J38" s="152">
        <f>H38*I38</f>
        <v>0</v>
      </c>
      <c r="K38" s="151">
        <f>IF(I38=0,0,VLOOKUP(G38,'Industry Averages(US)'!$A$2:$S$95,7))</f>
        <v>0</v>
      </c>
    </row>
    <row r="39" spans="1:11" s="11" customFormat="1" ht="15" customHeight="1">
      <c r="A39" s="22" t="s">
        <v>377</v>
      </c>
      <c r="B39" s="22"/>
      <c r="C39" s="12">
        <f>B17*(1-(1+B23)^(-B18))/B23+B16/(1+B23)^B18</f>
        <v>27387.2707289587015</v>
      </c>
      <c r="G39" s="139"/>
      <c r="H39" s="150"/>
      <c r="I39" s="151">
        <f>IF(G39=0,,VLOOKUP(G39,'Industry Averages(US)'!$A$2:$S$95,15))</f>
        <v>0</v>
      </c>
      <c r="J39" s="152">
        <f>H39*I39</f>
        <v>0</v>
      </c>
      <c r="K39" s="151">
        <f>IF(I39=0,0,VLOOKUP(G39,'Industry Averages(US)'!$A$2:$S$95,7))</f>
        <v>0</v>
      </c>
    </row>
    <row r="40" spans="1:11" s="11" customFormat="1" ht="15" customHeight="1">
      <c r="A40" s="22" t="s">
        <v>378</v>
      </c>
      <c r="B40" s="22"/>
      <c r="C40" s="12">
        <f>B27*(1-(1+B23)^(-B28))/B23+B26/(1+B23)^B28</f>
        <v>0</v>
      </c>
      <c r="G40" s="139"/>
      <c r="H40" s="150"/>
      <c r="I40" s="151">
        <f>IF(G40=0,,VLOOKUP(G40,'Industry Averages(US)'!$A$2:$S$95,15))</f>
        <v>0</v>
      </c>
      <c r="J40" s="152">
        <f>H40*I40</f>
        <v>0</v>
      </c>
      <c r="K40" s="151">
        <f>IF(I40=0,0,VLOOKUP(G40,'Industry Averages(US)'!$A$2:$S$95,7))</f>
        <v>0</v>
      </c>
    </row>
    <row r="41" spans="1:11" s="11" customFormat="1" ht="15" customHeight="1">
      <c r="A41" s="22" t="s">
        <v>379</v>
      </c>
      <c r="B41" s="22"/>
      <c r="C41" s="12">
        <f>B31</f>
        <v>18385.1985710920017</v>
      </c>
      <c r="G41" s="139"/>
      <c r="H41" s="150"/>
      <c r="I41" s="151">
        <f>IF(G41=0,,VLOOKUP(G41,'Industry Averages(US)'!$A$2:$S$95,15))</f>
        <v>0</v>
      </c>
      <c r="J41" s="152">
        <f>H41*I41</f>
        <v>0</v>
      </c>
      <c r="K41" s="151">
        <f>IF(I41=0,0,VLOOKUP(G41,'Industry Averages(US)'!$A$2:$S$95,7))</f>
        <v>0</v>
      </c>
    </row>
    <row r="42" spans="1:11">
      <c r="A42" s="22" t="s">
        <v>380</v>
      </c>
      <c r="B42" s="22"/>
      <c r="C42" s="12">
        <f>B29-C40</f>
        <v>0</v>
      </c>
      <c r="D42" s="11"/>
      <c r="E42" s="11"/>
      <c r="F42" s="11"/>
      <c r="G42" s="139"/>
      <c r="H42" s="150"/>
      <c r="I42" s="151">
        <f>IF(G42=0,,VLOOKUP(G42,'Industry Averages(US)'!$A$2:$S$95,15))</f>
        <v>0</v>
      </c>
      <c r="J42" s="152">
        <f>H42*I42</f>
        <v>0</v>
      </c>
      <c r="K42" s="151">
        <f>IF(I42=0,0,VLOOKUP(G42,'Industry Averages(US)'!$A$2:$S$95,7))</f>
        <v>0</v>
      </c>
    </row>
    <row r="43" spans="1:11">
      <c r="A43" s="22" t="s">
        <v>381</v>
      </c>
      <c r="B43" s="22"/>
      <c r="C43" s="108">
        <f>IF(B7="Direct Input",B8,B9*(1+(1-B24)*(C46/B46)))</f>
        <v>0.984722964584890015</v>
      </c>
      <c r="D43" s="11"/>
      <c r="E43" s="11"/>
      <c r="F43" s="11"/>
      <c r="G43" s="139"/>
      <c r="H43" s="150"/>
      <c r="I43" s="151">
        <f>IF(G43=0,,VLOOKUP(G43,'Industry Averages(US)'!$A$2:$S$95,15))</f>
        <v>0</v>
      </c>
      <c r="J43" s="152">
        <f>H43*I43</f>
        <v>0</v>
      </c>
      <c r="K43" s="151">
        <f>IF(I43=0,0,VLOOKUP(G43,'Industry Averages(US)'!$A$2:$S$95,7))</f>
        <v>0</v>
      </c>
    </row>
    <row r="44" spans="1:11">
      <c r="A44" s="11"/>
      <c r="B44" s="11"/>
      <c r="C44" s="108"/>
      <c r="D44" s="11"/>
      <c r="E44" s="11"/>
      <c r="F44" s="11"/>
      <c r="G44" s="139"/>
      <c r="H44" s="150"/>
      <c r="I44" s="151">
        <f>IF(G44=0,,VLOOKUP(G44,'Industry Averages(US)'!$A$2:$S$95,15))</f>
        <v>0</v>
      </c>
      <c r="J44" s="152">
        <f>H44*I44</f>
        <v>0</v>
      </c>
      <c r="K44" s="151">
        <f>IF(I44=0,0,VLOOKUP(G44,'Industry Averages(US)'!$A$2:$S$95,7))</f>
        <v>0</v>
      </c>
    </row>
    <row r="45" spans="1:11">
      <c r="A45" s="103"/>
      <c r="B45" s="104" t="s">
        <v>329</v>
      </c>
      <c r="C45" s="104" t="s">
        <v>382</v>
      </c>
      <c r="D45" s="104" t="s">
        <v>367</v>
      </c>
      <c r="E45" s="104" t="s">
        <v>383</v>
      </c>
      <c r="F45" s="103"/>
      <c r="G45" s="139"/>
      <c r="H45" s="150"/>
      <c r="I45" s="151">
        <f>IF(G45=0,,VLOOKUP(G45,'Industry Averages(US)'!$A$2:$S$95,15))</f>
        <v>0</v>
      </c>
      <c r="J45" s="152">
        <f>H45*I45</f>
        <v>0</v>
      </c>
      <c r="K45" s="151">
        <f>IF(I45=0,0,VLOOKUP(G45,'Industry Averages(US)'!$A$2:$S$95,7))</f>
        <v>0</v>
      </c>
    </row>
    <row r="46" spans="1:11">
      <c r="A46" s="22" t="s">
        <v>384</v>
      </c>
      <c r="B46" s="12">
        <f>B4*B5</f>
        <v>979184.430000000051</v>
      </c>
      <c r="C46" s="12">
        <f>C39+C40+C41</f>
        <v>45772.4693000507032</v>
      </c>
      <c r="D46" s="12">
        <f>B34*B35</f>
        <v>0</v>
      </c>
      <c r="E46" s="31">
        <f>SUM(B46:D46)</f>
        <v>1024956.89930004999</v>
      </c>
      <c r="F46" s="11"/>
      <c r="G46" s="153" t="s">
        <v>57</v>
      </c>
      <c r="H46" s="154">
        <f>SUM(H34:H45)</f>
        <v>100</v>
      </c>
      <c r="I46" s="155"/>
      <c r="J46" s="152">
        <f>SUM(J34:J45)</f>
        <v>156.604303708598991</v>
      </c>
      <c r="K46" s="155">
        <f>K34*(J34/J46)+K35*J35/J46+K36*J36/J46+K37*J37/J46+K38*J38/J46+K39*J39/J46+K40*J40/J46+K41*J41/J46+K42*J42/J46+K43*J43/J46+K44*J44/J46+K45*J45/J46</f>
        <v>0.825219270795019</v>
      </c>
    </row>
    <row r="47" spans="1:6">
      <c r="A47" s="22" t="s">
        <v>385</v>
      </c>
      <c r="B47" s="13">
        <f>B46/$E$46</f>
        <v>0.95534205454755412</v>
      </c>
      <c r="C47" s="13">
        <f>C46/$E$46</f>
        <v>0.0446579454524469988</v>
      </c>
      <c r="D47" s="13">
        <f>D46/$E$46</f>
        <v>0</v>
      </c>
      <c r="E47" s="105">
        <f>SUM(B47:D47)</f>
        <v>1</v>
      </c>
      <c r="F47" s="11"/>
    </row>
    <row r="48" spans="1:7">
      <c r="A48" s="22" t="s">
        <v>386</v>
      </c>
      <c r="B48" s="14">
        <f>B10+C43*B13</f>
        <v>0.0819917371680720031</v>
      </c>
      <c r="C48" s="13">
        <f>B23*(1-B24)</f>
        <v>0.0313879999999999981</v>
      </c>
      <c r="D48" s="106">
        <f>B36/B35</f>
        <v>0.0714285714285709972</v>
      </c>
      <c r="E48" s="107">
        <f>B47*B48+C47*C48+D47*D48</f>
        <v>0.0797318782339300114</v>
      </c>
      <c r="F48" s="11"/>
      <c r="G48" s="211" t="s">
        <v>387</v>
      </c>
    </row>
    <row r="49" spans="7:11">
      <c r="G49" s="22" t="s">
        <v>368</v>
      </c>
      <c r="H49" s="22" t="s">
        <v>38</v>
      </c>
      <c r="I49" s="22" t="s">
        <v>369</v>
      </c>
      <c r="J49" s="22" t="s">
        <v>370</v>
      </c>
      <c r="K49" s="22" t="s">
        <v>371</v>
      </c>
    </row>
    <row r="50" spans="7:11">
      <c r="G50" s="139" t="s">
        <v>34</v>
      </c>
      <c r="H50" s="150">
        <f>108354+5798+31881</f>
        <v>146033</v>
      </c>
      <c r="I50" s="151">
        <f>IF(G50=0,,VLOOKUP(G50,'Global industry averages'!$A$2:$O$95,15))</f>
        <v>0.818531004554022878</v>
      </c>
      <c r="J50" s="152">
        <f>H50*I50</f>
        <v>119532.538188038001</v>
      </c>
      <c r="K50" s="151">
        <f>IF(G50=0,,VLOOKUP(G50,'Global industry averages'!$A$2:$O$95,7))</f>
        <v>0.923355503995771087</v>
      </c>
    </row>
    <row r="51" spans="7:11">
      <c r="G51" s="139" t="s">
        <v>388</v>
      </c>
      <c r="H51" s="150">
        <f>9721</f>
        <v>9721</v>
      </c>
      <c r="I51" s="151">
        <f>IF(G51=0,,VLOOKUP(G51,'Global industry averages'!$A$2:$O$95,15))</f>
        <v>2.8999415778110599</v>
      </c>
      <c r="J51" s="152">
        <f>H51*I51</f>
        <v>28190.3320779013011</v>
      </c>
      <c r="K51" s="151">
        <f>IF(G51=0,,VLOOKUP(G51,'Global industry averages'!$A$2:$O$95,7))</f>
        <v>1.01785234431027005</v>
      </c>
    </row>
    <row r="52" spans="7:11">
      <c r="G52" s="139" t="s">
        <v>375</v>
      </c>
      <c r="H52" s="150" t="n">
        <v>17459</v>
      </c>
      <c r="I52" s="151">
        <f>IF(G52=0,,VLOOKUP(G52,'Global industry averages'!$A$2:$O$95,15))</f>
        <v>1.28994179094248995</v>
      </c>
      <c r="J52" s="152">
        <f>H52*I52</f>
        <v>22521.0937280649014</v>
      </c>
      <c r="K52" s="151">
        <f>IF(G52=0,,VLOOKUP(G52,'Global industry averages'!$A$2:$O$95,7))</f>
        <v>1.0135857658035301</v>
      </c>
    </row>
    <row r="53" spans="7:11">
      <c r="G53" s="139"/>
      <c r="H53" s="150"/>
      <c r="I53" s="151">
        <f>IF(G53=0,,VLOOKUP(G53,'Global industry averages'!$A$2:$O$95,15))</f>
        <v>0</v>
      </c>
      <c r="J53" s="152">
        <f>H53*I53</f>
        <v>0</v>
      </c>
      <c r="K53" s="151">
        <f>IF(G53=0,,VLOOKUP(G53,'Global industry averages'!$A$2:$O$95,7))</f>
        <v>0</v>
      </c>
    </row>
    <row r="54" spans="7:11">
      <c r="G54" s="139"/>
      <c r="H54" s="150"/>
      <c r="I54" s="151">
        <f>IF(G54=0,,VLOOKUP(G54,'Global industry averages'!$A$2:$O$95,15))</f>
        <v>0</v>
      </c>
      <c r="J54" s="152">
        <f>H54*I54</f>
        <v>0</v>
      </c>
      <c r="K54" s="151">
        <f>IF(G54=0,,VLOOKUP(G54,'Global industry averages'!$A$2:$O$95,7))</f>
        <v>0</v>
      </c>
    </row>
    <row r="55" spans="7:11">
      <c r="G55" s="139"/>
      <c r="H55" s="150"/>
      <c r="I55" s="151">
        <f>IF(G55=0,,VLOOKUP(G55,'Global industry averages'!$A$2:$O$95,15))</f>
        <v>0</v>
      </c>
      <c r="J55" s="152">
        <f>H55*I55</f>
        <v>0</v>
      </c>
      <c r="K55" s="151">
        <f>IF(G55=0,,VLOOKUP(G55,'Global industry averages'!$A$2:$O$95,7))</f>
        <v>0</v>
      </c>
    </row>
    <row r="56" spans="7:11">
      <c r="G56" s="139"/>
      <c r="H56" s="150"/>
      <c r="I56" s="151">
        <f>IF(G56=0,,VLOOKUP(G56,'Global industry averages'!$A$2:$O$95,15))</f>
        <v>0</v>
      </c>
      <c r="J56" s="152">
        <f>H56*I56</f>
        <v>0</v>
      </c>
      <c r="K56" s="151">
        <f>IF(G56=0,,VLOOKUP(G56,'Global industry averages'!$A$2:$O$95,7))</f>
        <v>0</v>
      </c>
    </row>
    <row r="57" spans="7:11">
      <c r="G57" s="139"/>
      <c r="H57" s="150"/>
      <c r="I57" s="151">
        <f>IF(G57=0,,VLOOKUP(G57,'Global industry averages'!$A$2:$O$95,15))</f>
        <v>0</v>
      </c>
      <c r="J57" s="152">
        <f>H57*I57</f>
        <v>0</v>
      </c>
      <c r="K57" s="151">
        <f>IF(G57=0,,VLOOKUP(G57,'Global industry averages'!$A$2:$O$95,7))</f>
        <v>0</v>
      </c>
    </row>
    <row r="58" spans="7:11">
      <c r="G58" s="139"/>
      <c r="H58" s="150"/>
      <c r="I58" s="151">
        <f>IF(G58=0,,VLOOKUP(G58,'Global industry averages'!$A$2:$O$95,15))</f>
        <v>0</v>
      </c>
      <c r="J58" s="152">
        <f>H58*I58</f>
        <v>0</v>
      </c>
      <c r="K58" s="151">
        <f>IF(G58=0,,VLOOKUP(G58,'Global industry averages'!$A$2:$O$95,7))</f>
        <v>0</v>
      </c>
    </row>
    <row r="59" spans="7:11">
      <c r="G59" s="139"/>
      <c r="H59" s="150"/>
      <c r="I59" s="151">
        <f>IF(G59=0,,VLOOKUP(G59,'Global industry averages'!$A$2:$O$95,15))</f>
        <v>0</v>
      </c>
      <c r="J59" s="152">
        <f>H59*I59</f>
        <v>0</v>
      </c>
      <c r="K59" s="151">
        <f>IF(G59=0,,VLOOKUP(G59,'Global industry averages'!$A$2:$O$95,7))</f>
        <v>0</v>
      </c>
    </row>
    <row r="60" spans="7:11">
      <c r="G60" s="139"/>
      <c r="H60" s="150"/>
      <c r="I60" s="151">
        <f>IF(G60=0,,VLOOKUP(G60,'Global industry averages'!$A$2:$O$95,15))</f>
        <v>0</v>
      </c>
      <c r="J60" s="152">
        <f>H60*I60</f>
        <v>0</v>
      </c>
      <c r="K60" s="151">
        <f>IF(G60=0,,VLOOKUP(G60,'Global industry averages'!$A$2:$O$95,7))</f>
        <v>0</v>
      </c>
    </row>
    <row r="61" spans="7:11">
      <c r="G61" s="139"/>
      <c r="H61" s="150"/>
      <c r="I61" s="151">
        <f>IF(G61=0,,VLOOKUP(G61,'Global industry averages'!$A$2:$O$95,15))</f>
        <v>0</v>
      </c>
      <c r="J61" s="152">
        <f>H61*I61</f>
        <v>0</v>
      </c>
      <c r="K61" s="151">
        <f>IF(G61=0,,VLOOKUP(G61,'Global industry averages'!$A$2:$O$95,7))</f>
        <v>0</v>
      </c>
    </row>
    <row r="62" spans="7:11">
      <c r="G62" s="153" t="s">
        <v>57</v>
      </c>
      <c r="H62" s="154">
        <f>SUM(H50:H61)</f>
        <v>173213</v>
      </c>
      <c r="I62" s="155"/>
      <c r="J62" s="152">
        <f>SUM(J50:J61)</f>
        <v>170243.963994004007</v>
      </c>
      <c r="K62" s="155">
        <f>K50*(J50/J62)+K51*J51/J62+K52*J52/J62+K53*J53/J62+K54*J54/J62+K55*J55/J62+K56*J56/J62+K57*J57/J62+K58*J58/J62+K59*J59/J62+K60*J60/J62+K61*J61/J62</f>
        <v>0.950939339462760991</v>
      </c>
    </row>
  </sheetData>
  <mergeCells count="1">
    <mergeCell ref="M3:Q17"/>
  </mergeCells>
  <dataValidations count="7">
    <dataValidation sqref="G3:G13" type="list" operator="between" errorStyle="stop" allowBlank="1" showInputMessage="1" showErrorMessage="1" view="0">
      <formula1>'Country equity risk premiums'!$A$2:$A$187</formula1>
    </dataValidation>
    <dataValidation sqref="B7" type="list" operator="between" errorStyle="stop" allowBlank="1" showInputMessage="1" showErrorMessage="1" view="0">
      <formula1>'Answer keys'!$F$2:$F$6</formula1>
    </dataValidation>
    <dataValidation sqref="B11" type="list" operator="between" errorStyle="stop" allowBlank="1" showInputMessage="1" showErrorMessage="1" view="0">
      <formula1>'Answer keys'!$C$2:$C$5</formula1>
    </dataValidation>
    <dataValidation sqref="B19" type="list" operator="between" errorStyle="stop" allowBlank="1" showInputMessage="1" showErrorMessage="1" view="0">
      <formula1>'Answer keys'!$D$2:$D$4</formula1>
    </dataValidation>
    <dataValidation sqref="B22" type="list" operator="between" errorStyle="stop" allowBlank="1" showInputMessage="1" showErrorMessage="1" view="0">
      <formula1>'Answer keys'!$E$2:$E$3</formula1>
    </dataValidation>
    <dataValidation sqref="G34:G45" type="list" operator="between" errorStyle="stop" allowBlank="1" showInputMessage="1" showErrorMessage="1" view="0">
      <formula1>'Industry Averages(US)'!$A$2:$A$95</formula1>
    </dataValidation>
    <dataValidation sqref="G50 G51 G52:G61" type="list" operator="between" errorStyle="stop" allowBlank="1" showInputMessage="1" showErrorMessage="1" view="0">
      <formula1>'Global industry averages'!$A$2:$A$95</formula1>
    </dataValidation>
  </dataValidations>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headerFooter>
    <extLst>
      <ext uri="smNativeData">
        <pm:header xmlns:pm="smNativeData" id="1696577006" l="56" r="56" t="56" b="56" borderId="0" fillId="0" vertical="0"/>
        <pm:footer xmlns:pm="smNativeData" id="1696577006" l="56" r="56" t="56" b="56" borderId="0" fillId="0" vertical="2"/>
      </ext>
    </extLst>
  </headerFooter>
  <legacyDrawing r:id="rId2"/>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xmlns:mc="http://schemas.openxmlformats.org/markup-compatibility/2006">
  <dimension ref="A1:J53"/>
  <sheetViews>
    <sheetView view="normal" zoomScale="125" workbookViewId="0">
      <selection activeCell="H18" sqref="H18"/>
    </sheetView>
  </sheetViews>
  <sheetFormatPr baseColWidth="10" defaultColWidth="11.500000" defaultRowHeight="11.50"/>
  <cols>
    <col min="1" max="1" width="124.533333" customWidth="1"/>
    <col min="3" max="3" width="9.955556" customWidth="1"/>
  </cols>
  <sheetData>
    <row r="1" spans="1:1">
      <c r="A1" s="9" t="s">
        <v>389</v>
      </c>
    </row>
    <row r="2" spans="1:1">
      <c r="A2" s="9" t="s">
        <v>390</v>
      </c>
    </row>
    <row r="3" spans="1:1" s="110" customFormat="1" ht="15.80">
      <c r="A3" s="109" t="s">
        <v>391</v>
      </c>
    </row>
    <row r="4" spans="1:10" s="111" customFormat="1" ht="12.60">
      <c r="A4" s="11" t="s">
        <v>392</v>
      </c>
      <c r="B4" s="11"/>
      <c r="C4" s="208">
        <f>'Cost of capital worksheet'!B22</f>
        <v>1</v>
      </c>
      <c r="D4" s="11"/>
      <c r="E4" s="11"/>
      <c r="F4" s="11"/>
      <c r="G4" s="11"/>
      <c r="H4" s="11"/>
      <c r="I4" s="11"/>
      <c r="J4" s="11"/>
    </row>
    <row r="5" spans="1:10" s="111" customFormat="1" ht="12.60">
      <c r="A5" s="11" t="s">
        <v>393</v>
      </c>
      <c r="B5" s="11"/>
      <c r="C5" s="11"/>
      <c r="D5" s="11"/>
      <c r="E5" s="11"/>
      <c r="F5" s="31">
        <f>IF('Input sheet'!B14="Yes",'Input sheet'!B9+'Operating lease converter'!F32,'Input sheet'!B9)</f>
        <v>7746.48014289080038</v>
      </c>
      <c r="G5" s="11" t="s">
        <v>394</v>
      </c>
      <c r="H5" s="11"/>
      <c r="I5" s="11"/>
      <c r="J5" s="11"/>
    </row>
    <row r="6" spans="1:10" s="111" customFormat="1" ht="12.60">
      <c r="A6" s="11" t="s">
        <v>395</v>
      </c>
      <c r="B6" s="11"/>
      <c r="C6" s="11"/>
      <c r="D6" s="11"/>
      <c r="E6" s="11"/>
      <c r="F6" s="180">
        <f>IF('Input sheet'!B14="Yes",'Cost of capital worksheet'!B17+'Operating lease converter'!C28*'Operating lease converter'!C15,'Cost of capital worksheet'!B17)</f>
        <v>1998.30870098609989</v>
      </c>
      <c r="G6" s="11" t="s">
        <v>396</v>
      </c>
      <c r="H6" s="11"/>
      <c r="I6" s="11"/>
      <c r="J6" s="11"/>
    </row>
    <row r="7" spans="1:10" s="111" customFormat="1" ht="12.60">
      <c r="A7" s="11" t="s">
        <v>397</v>
      </c>
      <c r="B7" s="11"/>
      <c r="C7" s="11"/>
      <c r="D7" s="11"/>
      <c r="E7" s="11"/>
      <c r="F7" s="119">
        <f>'Input sheet'!B28</f>
        <v>0.03</v>
      </c>
      <c r="G7" s="11"/>
      <c r="H7" s="11"/>
      <c r="I7" s="11"/>
      <c r="J7" s="11"/>
    </row>
    <row r="8" spans="1:10" s="111" customFormat="1" ht="12.60">
      <c r="A8" s="20" t="s">
        <v>290</v>
      </c>
      <c r="B8" s="11"/>
      <c r="C8" s="11"/>
      <c r="D8" s="11"/>
      <c r="E8" s="11"/>
      <c r="F8" s="11"/>
      <c r="G8" s="11"/>
      <c r="H8" s="11"/>
      <c r="I8" s="11"/>
      <c r="J8" s="11"/>
    </row>
    <row r="9" spans="1:10" s="111" customFormat="1" ht="12.60">
      <c r="A9" s="11" t="s">
        <v>398</v>
      </c>
      <c r="B9" s="11"/>
      <c r="C9" s="11"/>
      <c r="D9" s="120">
        <f>IF(F6=0,1000000,IF(F5&lt;0,-100000,F5/F6))</f>
        <v>3.87651824718981999</v>
      </c>
      <c r="E9" s="11"/>
      <c r="F9" s="11"/>
      <c r="G9" s="11"/>
      <c r="H9" s="11"/>
      <c r="I9" s="11"/>
      <c r="J9" s="11"/>
    </row>
    <row r="10" spans="1:6" s="111" customFormat="1" ht="12.60">
      <c r="A10" s="11" t="s">
        <v>399</v>
      </c>
      <c r="D10" s="121" t="str">
        <f>IF(C4=1,VLOOKUP(D9,A19:D33,3),(IF(C4=2,VLOOKUP(D9,A38:D52,3),VLOOKUP(D9,F19:I33,3))))</f>
        <v>A3/A-</v>
      </c>
      <c r="F10" s="19" t="s">
        <v>400</v>
      </c>
    </row>
    <row r="11" spans="1:6" s="111" customFormat="1" ht="12.60">
      <c r="A11" s="11" t="s">
        <v>401</v>
      </c>
      <c r="D11" s="122">
        <f>IF(C4=1,VLOOKUP(D9,A19:D33,4),(IF(C4=2,VLOOKUP(D9,A38:D52,4),VLOOKUP(D9,F19:I33,4))))</f>
        <v>0.0112999999999999989</v>
      </c>
      <c r="F11" s="19" t="s">
        <v>402</v>
      </c>
    </row>
    <row r="12" spans="1:6" s="111" customFormat="1" ht="12.60">
      <c r="A12" s="11" t="s">
        <v>403</v>
      </c>
      <c r="D12" s="122">
        <f>VLOOKUP('Input sheet'!B5,'Country equity risk premiums'!A2:C187,3)</f>
        <v>0</v>
      </c>
      <c r="F12" s="19"/>
    </row>
    <row r="13" spans="1:4" s="11" customFormat="1" ht="12.60">
      <c r="A13" s="11" t="s">
        <v>404</v>
      </c>
      <c r="D13" s="123">
        <f>F7+D11+D12</f>
        <v>0.0413000000000000078</v>
      </c>
    </row>
    <row r="14" spans="4:4" s="11" customFormat="1" ht="12.60">
      <c r="D14" s="113"/>
    </row>
    <row r="15" spans="1:4" s="18" customFormat="1" ht="13.45">
      <c r="A15" s="18" t="s">
        <v>405</v>
      </c>
      <c r="D15" s="114"/>
    </row>
    <row r="16" spans="1:9" s="111" customFormat="1" ht="12.60">
      <c r="A16" s="20" t="s">
        <v>406</v>
      </c>
      <c r="F16"/>
      <c r="G16"/>
      <c r="H16"/>
      <c r="I16"/>
    </row>
    <row r="17" spans="1:10" s="111" customFormat="1" ht="12.60">
      <c r="A17" s="115" t="s">
        <v>407</v>
      </c>
      <c r="B17" s="115"/>
      <c r="C17" s="116"/>
      <c r="D17" s="116"/>
      <c r="F17"/>
      <c r="G17"/>
      <c r="H17"/>
      <c r="I17"/>
      <c r="J17" s="11"/>
    </row>
    <row r="18" spans="1:9" s="111" customFormat="1" ht="12.60">
      <c r="A18" s="104" t="s">
        <v>408</v>
      </c>
      <c r="B18" s="104" t="s">
        <v>409</v>
      </c>
      <c r="C18" s="104" t="s">
        <v>410</v>
      </c>
      <c r="D18" s="104" t="s">
        <v>411</v>
      </c>
      <c r="F18"/>
      <c r="G18"/>
      <c r="H18"/>
      <c r="I18"/>
    </row>
    <row r="19" spans="1:9" s="111" customFormat="1" ht="12.60">
      <c r="A19" s="33" t="n">
        <v>-100000</v>
      </c>
      <c r="B19" s="33" t="n">
        <v>0.19999900000000002</v>
      </c>
      <c r="C19" s="206" t="s">
        <v>412</v>
      </c>
      <c r="D19" s="293" t="n">
        <v>0.185999999999999979</v>
      </c>
      <c r="F19"/>
      <c r="G19"/>
      <c r="H19"/>
      <c r="I19"/>
    </row>
    <row r="20" spans="1:9" s="111" customFormat="1" ht="12.60">
      <c r="A20" s="33" t="n">
        <v>0.2</v>
      </c>
      <c r="B20" s="33" t="n">
        <v>0.649999000000000038</v>
      </c>
      <c r="C20" s="206" t="s">
        <v>413</v>
      </c>
      <c r="D20" s="293" t="n">
        <v>0.139500000000000002</v>
      </c>
      <c r="F20"/>
      <c r="G20"/>
      <c r="H20"/>
      <c r="I20"/>
    </row>
    <row r="21" spans="1:9" s="111" customFormat="1" ht="12.60">
      <c r="A21" s="33" t="n">
        <v>0.65</v>
      </c>
      <c r="B21" s="33" t="n">
        <v>0.799999000000000038</v>
      </c>
      <c r="C21" s="206" t="s">
        <v>414</v>
      </c>
      <c r="D21" s="293" t="n">
        <v>0.106300000000000017</v>
      </c>
      <c r="F21"/>
      <c r="G21"/>
      <c r="H21"/>
      <c r="I21"/>
    </row>
    <row r="22" spans="1:9" s="111" customFormat="1" ht="12.60">
      <c r="A22" s="33" t="n">
        <v>0.8</v>
      </c>
      <c r="B22" s="33" t="n">
        <v>1.24999900000000008</v>
      </c>
      <c r="C22" s="206" t="s">
        <v>415</v>
      </c>
      <c r="D22" s="293" t="n">
        <v>0.0864000000000000057</v>
      </c>
      <c r="F22"/>
      <c r="G22"/>
      <c r="H22"/>
      <c r="I22"/>
    </row>
    <row r="23" spans="1:9" s="111" customFormat="1" ht="12.60">
      <c r="A23" s="33" t="n">
        <v>1.25</v>
      </c>
      <c r="B23" s="33" t="n">
        <v>1.49999900000000004</v>
      </c>
      <c r="C23" s="206" t="s">
        <v>416</v>
      </c>
      <c r="D23" s="293" t="n">
        <v>0.0437000000000000099</v>
      </c>
      <c r="F23"/>
      <c r="G23"/>
      <c r="H23"/>
      <c r="I23"/>
    </row>
    <row r="24" spans="1:9" s="111" customFormat="1" ht="12.60">
      <c r="A24" s="33" t="n">
        <v>1.5</v>
      </c>
      <c r="B24" s="33" t="n">
        <v>1.74999900000000004</v>
      </c>
      <c r="C24" s="206" t="s">
        <v>417</v>
      </c>
      <c r="D24" s="293" t="n">
        <v>0.0357000000000000028</v>
      </c>
      <c r="F24"/>
      <c r="G24"/>
      <c r="H24"/>
      <c r="I24"/>
    </row>
    <row r="25" spans="1:9" s="111" customFormat="1" ht="12.60">
      <c r="A25" s="33" t="n">
        <v>1.75</v>
      </c>
      <c r="B25" s="33" t="n">
        <v>1.99999900000000004</v>
      </c>
      <c r="C25" s="206" t="s">
        <v>418</v>
      </c>
      <c r="D25" s="293" t="n">
        <v>0.0298000000000000007</v>
      </c>
      <c r="F25"/>
      <c r="G25"/>
      <c r="H25"/>
      <c r="I25"/>
    </row>
    <row r="26" spans="1:9" s="111" customFormat="1" ht="12.60">
      <c r="A26" s="33" t="n">
        <v>2</v>
      </c>
      <c r="B26" s="33" t="n">
        <v>2.24999990000000016</v>
      </c>
      <c r="C26" s="206" t="s">
        <v>419</v>
      </c>
      <c r="D26" s="293" t="n">
        <v>0.0238000000000000034</v>
      </c>
      <c r="F26"/>
      <c r="G26"/>
      <c r="H26"/>
      <c r="I26"/>
    </row>
    <row r="27" spans="1:9" s="111" customFormat="1" ht="12.60">
      <c r="A27" s="33" t="n">
        <v>2.25</v>
      </c>
      <c r="B27" s="33" t="n">
        <v>2.49998999999999993</v>
      </c>
      <c r="C27" s="206" t="s">
        <v>420</v>
      </c>
      <c r="D27" s="293" t="n">
        <v>0.0198000000000000007</v>
      </c>
      <c r="F27"/>
      <c r="G27"/>
      <c r="H27"/>
      <c r="I27"/>
    </row>
    <row r="28" spans="1:9" s="111" customFormat="1" ht="12.60">
      <c r="A28" s="33" t="n">
        <v>2.5</v>
      </c>
      <c r="B28" s="33" t="n">
        <v>2.99999899999999986</v>
      </c>
      <c r="C28" s="206" t="s">
        <v>421</v>
      </c>
      <c r="D28" s="293" t="n">
        <v>0.0127000000000000002</v>
      </c>
      <c r="F28"/>
      <c r="G28"/>
      <c r="H28"/>
      <c r="I28"/>
    </row>
    <row r="29" spans="1:9" s="111" customFormat="1" ht="12.60">
      <c r="A29" s="33" t="n">
        <v>3</v>
      </c>
      <c r="B29" s="33" t="n">
        <v>4.24999899999999986</v>
      </c>
      <c r="C29" s="206" t="s">
        <v>422</v>
      </c>
      <c r="D29" s="293" t="n">
        <v>0.0112999999999999989</v>
      </c>
      <c r="F29"/>
      <c r="G29"/>
      <c r="H29"/>
      <c r="I29"/>
    </row>
    <row r="30" spans="1:9" s="111" customFormat="1" ht="12.60">
      <c r="A30" s="33" t="n">
        <v>4.25</v>
      </c>
      <c r="B30" s="33" t="n">
        <v>5.49999899999999986</v>
      </c>
      <c r="C30" s="206" t="s">
        <v>423</v>
      </c>
      <c r="D30" s="293" t="n">
        <v>0.00990000000000000036</v>
      </c>
      <c r="F30"/>
      <c r="G30"/>
      <c r="H30"/>
      <c r="I30"/>
    </row>
    <row r="31" spans="1:9" s="111" customFormat="1" ht="12.60">
      <c r="A31" s="33" t="n">
        <v>5.5</v>
      </c>
      <c r="B31" s="33" t="n">
        <v>6.49999899999999986</v>
      </c>
      <c r="C31" s="206" t="s">
        <v>424</v>
      </c>
      <c r="D31" s="293" t="n">
        <v>0.00899999999999999645</v>
      </c>
      <c r="F31"/>
      <c r="G31"/>
      <c r="H31"/>
      <c r="I31"/>
    </row>
    <row r="32" spans="1:9" s="111" customFormat="1" ht="12.60">
      <c r="A32" s="33" t="n">
        <v>6.5</v>
      </c>
      <c r="B32" s="33" t="n">
        <v>8.49999900000000075</v>
      </c>
      <c r="C32" s="206" t="s">
        <v>358</v>
      </c>
      <c r="D32" s="293" t="n">
        <v>0.00719999999999999929</v>
      </c>
      <c r="F32"/>
      <c r="G32"/>
      <c r="H32"/>
      <c r="I32"/>
    </row>
    <row r="33" spans="1:9" s="111" customFormat="1" ht="12.60">
      <c r="A33" s="117" t="n">
        <v>8.5</v>
      </c>
      <c r="B33" s="33" t="n">
        <v>100000</v>
      </c>
      <c r="C33" s="206" t="s">
        <v>425</v>
      </c>
      <c r="D33" s="225" t="n">
        <v>0.00540000000000000036</v>
      </c>
      <c r="F33"/>
      <c r="G33"/>
      <c r="H33"/>
      <c r="I33"/>
    </row>
    <row r="34" spans="1:1" s="111" customFormat="1" ht="12.60"/>
    <row r="35" spans="1:1" s="111" customFormat="1" ht="12.60">
      <c r="A35" s="20" t="s">
        <v>426</v>
      </c>
    </row>
    <row r="36" spans="1:4" s="111" customFormat="1" ht="12.60">
      <c r="A36" s="115" t="s">
        <v>407</v>
      </c>
      <c r="B36" s="118"/>
      <c r="C36" s="33"/>
      <c r="D36" s="33"/>
    </row>
    <row r="37" spans="1:4" s="111" customFormat="1" ht="12.60">
      <c r="A37" s="33" t="s">
        <v>427</v>
      </c>
      <c r="B37" s="33" t="s">
        <v>409</v>
      </c>
      <c r="C37" s="33" t="s">
        <v>410</v>
      </c>
      <c r="D37" s="33" t="s">
        <v>411</v>
      </c>
    </row>
    <row r="38" spans="1:8" s="111" customFormat="1" ht="12.60">
      <c r="A38" s="33" t="n">
        <v>-100000</v>
      </c>
      <c r="B38" s="33" t="n">
        <v>0.499999000000000038</v>
      </c>
      <c r="C38" s="206" t="s">
        <v>412</v>
      </c>
      <c r="D38" s="293" t="n">
        <v>0.185999999999999979</v>
      </c>
      <c r="G38" t="s">
        <v>410</v>
      </c>
      <c r="H38" t="s">
        <v>411</v>
      </c>
    </row>
    <row r="39" spans="1:8" s="111" customFormat="1" ht="12.60">
      <c r="A39" s="33" t="n">
        <v>0.5</v>
      </c>
      <c r="B39" s="33" t="n">
        <v>0.799999000000000038</v>
      </c>
      <c r="C39" s="206" t="s">
        <v>413</v>
      </c>
      <c r="D39" s="293" t="n">
        <v>0.139500000000000002</v>
      </c>
      <c r="G39" t="s">
        <v>424</v>
      </c>
      <c r="H39" s="294" t="n">
        <v>0.01</v>
      </c>
    </row>
    <row r="40" spans="1:8" s="111" customFormat="1" ht="12.60">
      <c r="A40" s="33" t="n">
        <v>0.8</v>
      </c>
      <c r="B40" s="33" t="n">
        <v>1.24999900000000008</v>
      </c>
      <c r="C40" s="206" t="s">
        <v>414</v>
      </c>
      <c r="D40" s="293" t="n">
        <v>0.106300000000000017</v>
      </c>
      <c r="G40" t="s">
        <v>423</v>
      </c>
      <c r="H40" s="294" t="n">
        <v>0.0109999999999999964</v>
      </c>
    </row>
    <row r="41" spans="1:8" s="111" customFormat="1" ht="12.60">
      <c r="A41" s="33" t="n">
        <v>1.25</v>
      </c>
      <c r="B41" s="33" t="n">
        <v>1.49999900000000004</v>
      </c>
      <c r="C41" s="206" t="s">
        <v>415</v>
      </c>
      <c r="D41" s="293" t="n">
        <v>0.0864000000000000057</v>
      </c>
      <c r="G41" t="s">
        <v>422</v>
      </c>
      <c r="H41" s="294" t="n">
        <v>0.0125</v>
      </c>
    </row>
    <row r="42" spans="1:8" s="111" customFormat="1" ht="12.60">
      <c r="A42" s="33" t="n">
        <v>1.5</v>
      </c>
      <c r="B42" s="33" t="n">
        <v>1.99999900000000004</v>
      </c>
      <c r="C42" s="206" t="s">
        <v>416</v>
      </c>
      <c r="D42" s="293" t="n">
        <v>0.0437000000000000099</v>
      </c>
      <c r="G42" t="s">
        <v>358</v>
      </c>
      <c r="H42" s="294" t="n">
        <v>0.008</v>
      </c>
    </row>
    <row r="43" spans="1:8" s="111" customFormat="1" ht="12.60">
      <c r="A43" s="33" t="n">
        <v>2</v>
      </c>
      <c r="B43" s="33" t="n">
        <v>2.49999899999999986</v>
      </c>
      <c r="C43" s="206" t="s">
        <v>417</v>
      </c>
      <c r="D43" s="293" t="n">
        <v>0.0357000000000000028</v>
      </c>
      <c r="G43" t="s">
        <v>425</v>
      </c>
      <c r="H43" s="294" t="n">
        <v>0.006</v>
      </c>
    </row>
    <row r="44" spans="1:8" s="111" customFormat="1" ht="12.60">
      <c r="A44" s="33" t="n">
        <v>2.5</v>
      </c>
      <c r="B44" s="33" t="n">
        <v>2.99999899999999986</v>
      </c>
      <c r="C44" s="206" t="s">
        <v>418</v>
      </c>
      <c r="D44" s="293" t="n">
        <v>0.0298000000000000007</v>
      </c>
      <c r="G44" t="s">
        <v>418</v>
      </c>
      <c r="H44" s="294" t="n">
        <v>0.0375</v>
      </c>
    </row>
    <row r="45" spans="1:8" s="111" customFormat="1" ht="12.60">
      <c r="A45" s="33" t="n">
        <v>3</v>
      </c>
      <c r="B45" s="33" t="n">
        <v>3.49999899999999986</v>
      </c>
      <c r="C45" s="206" t="s">
        <v>419</v>
      </c>
      <c r="D45" s="293" t="n">
        <v>0.0238000000000000034</v>
      </c>
      <c r="G45" t="s">
        <v>417</v>
      </c>
      <c r="H45" s="294" t="n">
        <v>0.045</v>
      </c>
    </row>
    <row r="46" spans="1:8" s="111" customFormat="1" ht="12.60">
      <c r="A46" s="33" t="n">
        <v>3.5</v>
      </c>
      <c r="B46" s="33" t="n">
        <v>3.99999990000000025</v>
      </c>
      <c r="C46" s="206" t="s">
        <v>420</v>
      </c>
      <c r="D46" s="293" t="n">
        <v>0.0198000000000000007</v>
      </c>
      <c r="G46" t="s">
        <v>416</v>
      </c>
      <c r="H46" s="294" t="n">
        <v>0.055</v>
      </c>
    </row>
    <row r="47" spans="1:8" s="111" customFormat="1" ht="12.60">
      <c r="A47" s="33" t="n">
        <v>4</v>
      </c>
      <c r="B47" s="33" t="n">
        <v>4.49999899999999986</v>
      </c>
      <c r="C47" s="206" t="s">
        <v>421</v>
      </c>
      <c r="D47" s="293" t="n">
        <v>0.0127000000000000002</v>
      </c>
      <c r="G47" t="s">
        <v>420</v>
      </c>
      <c r="H47" s="294" t="n">
        <v>0.025</v>
      </c>
    </row>
    <row r="48" spans="1:8" s="111" customFormat="1" ht="12.60">
      <c r="A48" s="33" t="n">
        <v>4.5</v>
      </c>
      <c r="B48" s="33" t="n">
        <v>5.99999899999999986</v>
      </c>
      <c r="C48" s="206" t="s">
        <v>422</v>
      </c>
      <c r="D48" s="293" t="n">
        <v>0.0112999999999999989</v>
      </c>
      <c r="G48" t="s">
        <v>419</v>
      </c>
      <c r="H48" s="294" t="n">
        <v>0.03</v>
      </c>
    </row>
    <row r="49" spans="1:8" s="111" customFormat="1" ht="12.60">
      <c r="A49" s="33" t="n">
        <v>6</v>
      </c>
      <c r="B49" s="33" t="n">
        <v>7.49999899999999986</v>
      </c>
      <c r="C49" s="206" t="s">
        <v>423</v>
      </c>
      <c r="D49" s="293" t="n">
        <v>0.00990000000000000036</v>
      </c>
      <c r="G49" t="s">
        <v>421</v>
      </c>
      <c r="H49" s="294" t="n">
        <v>0.0160000000000000009</v>
      </c>
    </row>
    <row r="50" spans="1:8" s="111" customFormat="1" ht="12.60">
      <c r="A50" s="33" t="n">
        <v>7.5</v>
      </c>
      <c r="B50" s="33" t="n">
        <v>9.49999900000000075</v>
      </c>
      <c r="C50" s="206" t="s">
        <v>424</v>
      </c>
      <c r="D50" s="293" t="n">
        <v>0.00899999999999999645</v>
      </c>
      <c r="G50" t="s">
        <v>415</v>
      </c>
      <c r="H50" s="294" t="n">
        <v>0.105000000000000004</v>
      </c>
    </row>
    <row r="51" spans="1:10">
      <c r="A51" s="33" t="n">
        <v>9.5</v>
      </c>
      <c r="B51" s="33" t="n">
        <v>12.4999990000000007</v>
      </c>
      <c r="C51" s="206" t="s">
        <v>358</v>
      </c>
      <c r="D51" s="293" t="n">
        <v>0.00719999999999999929</v>
      </c>
      <c r="F51" s="111"/>
      <c r="G51" t="s">
        <v>414</v>
      </c>
      <c r="H51" s="294" t="n">
        <v>0.08</v>
      </c>
      <c r="I51" s="111"/>
      <c r="J51" s="111"/>
    </row>
    <row r="52" spans="1:8">
      <c r="A52" s="33" t="n">
        <v>12.5</v>
      </c>
      <c r="B52" s="33" t="n">
        <v>100000</v>
      </c>
      <c r="C52" s="206" t="s">
        <v>425</v>
      </c>
      <c r="D52" s="225" t="n">
        <v>0.00540000000000000036</v>
      </c>
      <c r="G52" t="s">
        <v>413</v>
      </c>
      <c r="H52" s="294" t="n">
        <v>0.065</v>
      </c>
    </row>
    <row r="53" spans="7:8">
      <c r="G53" t="s">
        <v>412</v>
      </c>
      <c r="H53" s="294" t="n">
        <v>0.140000000000000018</v>
      </c>
    </row>
  </sheetData>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headerFooter>
    <extLst>
      <ext uri="smNativeData">
        <pm:header xmlns:pm="smNativeData" id="1696577006" l="56" r="56" t="56" b="56" borderId="0" fillId="0" vertical="0"/>
        <pm:footer xmlns:pm="smNativeData" id="1696577006" l="56" r="56" t="56" b="56" borderId="0" fillId="0" vertical="2"/>
      </ext>
    </extLst>
  </headerFooter>
  <legacyDrawing r:id="rId2"/>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xmlns:mc="http://schemas.openxmlformats.org/markup-compatibility/2006">
  <dimension ref="A1:Z95"/>
  <sheetViews>
    <sheetView view="normal" workbookViewId="0">
      <pane xSplit="1" ySplit="1" topLeftCell="B2" activePane="bottomRight" state="frozen"/>
      <selection pane="bottomRight" activeCell="I16" sqref="I16"/>
    </sheetView>
  </sheetViews>
  <sheetFormatPr baseColWidth="10" defaultColWidth="11.500000" defaultRowHeight="11.50"/>
  <cols>
    <col min="1" max="1" width="29.166667" customWidth="1"/>
    <col min="2" max="23" width="10.833333" customWidth="1"/>
  </cols>
  <sheetData>
    <row r="1" spans="1:26" s="337" customFormat="1" ht="12.35">
      <c r="A1" s="334" t="s">
        <v>428</v>
      </c>
      <c r="B1" s="334" t="s">
        <v>429</v>
      </c>
      <c r="C1" s="335" t="s">
        <v>430</v>
      </c>
      <c r="D1" s="334" t="s">
        <v>431</v>
      </c>
      <c r="E1" s="335" t="s">
        <v>432</v>
      </c>
      <c r="F1" s="334" t="s">
        <v>433</v>
      </c>
      <c r="G1" s="334" t="s">
        <v>371</v>
      </c>
      <c r="H1" s="334" t="s">
        <v>434</v>
      </c>
      <c r="I1" s="334" t="s">
        <v>435</v>
      </c>
      <c r="J1" s="334" t="s">
        <v>436</v>
      </c>
      <c r="K1" s="334" t="s">
        <v>437</v>
      </c>
      <c r="L1" s="334" t="s">
        <v>438</v>
      </c>
      <c r="M1" s="334" t="s">
        <v>133</v>
      </c>
      <c r="N1" s="336" t="s">
        <v>439</v>
      </c>
      <c r="O1" s="334" t="s">
        <v>369</v>
      </c>
      <c r="P1" s="334" t="s">
        <v>440</v>
      </c>
      <c r="Q1" s="334" t="s">
        <v>441</v>
      </c>
      <c r="R1" s="334" t="s">
        <v>442</v>
      </c>
      <c r="S1" s="334" t="s">
        <v>443</v>
      </c>
      <c r="T1" s="334" t="s">
        <v>444</v>
      </c>
      <c r="U1" s="334" t="s">
        <v>445</v>
      </c>
      <c r="V1" s="334" t="s">
        <v>446</v>
      </c>
      <c r="W1" s="334" t="s">
        <v>447</v>
      </c>
      <c r="X1" s="334" t="s">
        <v>448</v>
      </c>
      <c r="Y1" s="334" t="s">
        <v>449</v>
      </c>
      <c r="Z1" s="334" t="s">
        <v>450</v>
      </c>
    </row>
    <row r="2" spans="1:26">
      <c r="A2" t="s">
        <v>373</v>
      </c>
      <c r="B2" t="n">
        <v>40</v>
      </c>
      <c r="C2" s="294" t="n">
        <v>0.117663529411764678</v>
      </c>
      <c r="D2" s="294" t="n">
        <v>0.124085149845805076</v>
      </c>
      <c r="E2" s="294" t="n">
        <v>0.775650511828711675</v>
      </c>
      <c r="F2" s="294" t="n">
        <v>0.303925141757710859</v>
      </c>
      <c r="G2" s="333" t="n">
        <v>0.784278970594291458</v>
      </c>
      <c r="H2" s="333" t="n">
        <v>1.15355612903225824</v>
      </c>
      <c r="I2" s="294" t="n">
        <v>0.082700651354838719</v>
      </c>
      <c r="J2" s="294" t="n">
        <v>0.809509322294541889</v>
      </c>
      <c r="K2" s="294" t="n">
        <v>0.0690999999999999837</v>
      </c>
      <c r="L2" s="294" t="n">
        <v>0.424861448360974858</v>
      </c>
      <c r="M2" s="294" t="n">
        <v>0.0698763566619508936</v>
      </c>
      <c r="N2" s="333" t="n">
        <v>6.67650685331491989</v>
      </c>
      <c r="O2" s="333" t="n">
        <v>1.66386966000153951</v>
      </c>
      <c r="P2" s="333" t="n">
        <v>8.35053726522173179</v>
      </c>
      <c r="Q2" s="333" t="n">
        <v>13.1494760847973318</v>
      </c>
      <c r="R2" s="333" t="n">
        <v>9.15876234705258341</v>
      </c>
      <c r="S2" s="333" t="n">
        <v>57.1806609847741569</v>
      </c>
      <c r="T2" s="294" t="n">
        <v>-0.0165388555270234328</v>
      </c>
      <c r="U2" s="294" t="n">
        <v>0.0232290149391314271</v>
      </c>
      <c r="V2" s="294" t="n">
        <v>-0.00263327335897212533</v>
      </c>
      <c r="W2" s="294" t="n">
        <v>0.215190564226199266</v>
      </c>
      <c r="X2" s="294" t="n">
        <v>-0.00879864520410582429</v>
      </c>
      <c r="Y2" s="294" t="n">
        <v>0.528459043305412468</v>
      </c>
      <c r="Z2" s="294" t="n">
        <v>0.528459043305412468</v>
      </c>
    </row>
    <row r="3" spans="1:26">
      <c r="A3" t="s">
        <v>451</v>
      </c>
      <c r="B3" t="n">
        <v>87</v>
      </c>
      <c r="C3" s="294" t="n">
        <v>0.0335370833333333218</v>
      </c>
      <c r="D3" s="294" t="n">
        <v>0.116261175433874753</v>
      </c>
      <c r="E3" s="294" t="n">
        <v>0.370511242767011684</v>
      </c>
      <c r="F3" s="294" t="n">
        <v>0.291503824406472702</v>
      </c>
      <c r="G3" s="333" t="n">
        <v>0.992332321291021024</v>
      </c>
      <c r="H3" s="333" t="n">
        <v>1.08260599999999997</v>
      </c>
      <c r="I3" s="294" t="n">
        <v>0.079096384800000008</v>
      </c>
      <c r="J3" s="294" t="n">
        <v>0.490616350301859949</v>
      </c>
      <c r="K3" s="294" t="n">
        <v>0.0391000000000000014</v>
      </c>
      <c r="L3" s="294" t="n">
        <v>0.155835947615933934</v>
      </c>
      <c r="M3" s="294" t="n">
        <v>0.0714011457410525541</v>
      </c>
      <c r="N3" s="333" t="n">
        <v>3.61235224343517958</v>
      </c>
      <c r="O3" s="333" t="n">
        <v>2.08855319036060161</v>
      </c>
      <c r="P3" s="333" t="n">
        <v>13.9622570022054955</v>
      </c>
      <c r="Q3" s="333" t="n">
        <v>17.6748294871859635</v>
      </c>
      <c r="R3" s="333" t="n">
        <v>6.42631459924129622</v>
      </c>
      <c r="S3" s="333" t="n">
        <v>29.3419710141308236</v>
      </c>
      <c r="T3" s="294" t="n">
        <v>0.277104035884822464</v>
      </c>
      <c r="U3" s="294" t="n">
        <v>0.0271249333913655022</v>
      </c>
      <c r="V3" s="294" t="n">
        <v>0.0208272275772843596</v>
      </c>
      <c r="W3" s="294" t="n">
        <v>0.401689303200500092</v>
      </c>
      <c r="X3" s="294" t="n">
        <v>0.290285851098088088</v>
      </c>
      <c r="Y3" s="294" t="n">
        <v>0.395168229918748857</v>
      </c>
      <c r="Z3" s="294" t="n">
        <v>0.395168229918748857</v>
      </c>
    </row>
    <row r="4" spans="1:26">
      <c r="A4" t="s">
        <v>452</v>
      </c>
      <c r="B4" t="n">
        <v>17</v>
      </c>
      <c r="C4" s="294" t="n">
        <v>0.0619874999999999954</v>
      </c>
      <c r="D4" s="294" t="n">
        <v>0.128403311780767005</v>
      </c>
      <c r="E4" s="294" t="n">
        <v>0.135010650699187074</v>
      </c>
      <c r="F4" s="294" t="n">
        <v>0.371499445620186508</v>
      </c>
      <c r="G4" s="333" t="n">
        <v>0.673280422358861408</v>
      </c>
      <c r="H4" s="333" t="n">
        <v>1.00888350000000004</v>
      </c>
      <c r="I4" s="294" t="n">
        <v>0.0753512818000000006</v>
      </c>
      <c r="J4" s="294" t="n">
        <v>0.402007933277494089</v>
      </c>
      <c r="K4" s="294" t="n">
        <v>0.0391000000000000014</v>
      </c>
      <c r="L4" s="294" t="n">
        <v>0.415201463041438057</v>
      </c>
      <c r="M4" s="294" t="n">
        <v>0.0564034460303316809</v>
      </c>
      <c r="N4" s="333" t="n">
        <v>1.39391052205380284</v>
      </c>
      <c r="O4" s="333" t="n">
        <v>1.55802080825771068</v>
      </c>
      <c r="P4" s="333" t="n">
        <v>6.56463859719263265</v>
      </c>
      <c r="Q4" s="333" t="n">
        <v>12.1356706519712727</v>
      </c>
      <c r="R4" s="333" t="n">
        <v>3.06184132347277194</v>
      </c>
      <c r="S4" s="333" t="n">
        <v>14.101198010772876</v>
      </c>
      <c r="T4" s="294" t="n">
        <v>0.011868604784801855</v>
      </c>
      <c r="U4" s="294" t="n">
        <v>0.125579753617424039</v>
      </c>
      <c r="V4" s="294" t="n">
        <v>0.0856683396644898565</v>
      </c>
      <c r="W4" s="294" t="n">
        <v>1.01672438017452316</v>
      </c>
      <c r="X4" s="294" t="n">
        <v>0.2478168210330705</v>
      </c>
      <c r="Y4" s="294" t="n">
        <v>0.152747428787290751</v>
      </c>
      <c r="Z4" s="294" t="n">
        <v>0.152747428787290751</v>
      </c>
    </row>
    <row r="5" spans="1:26">
      <c r="A5" t="s">
        <v>453</v>
      </c>
      <c r="B5" t="n">
        <v>51</v>
      </c>
      <c r="C5" s="294" t="n">
        <v>0.206657333333333293</v>
      </c>
      <c r="D5" s="294" t="n">
        <v>0.109755831913040991</v>
      </c>
      <c r="E5" s="294" t="n">
        <v>0.141809816413092626</v>
      </c>
      <c r="F5" s="294" t="n">
        <v>0.185845885346517452</v>
      </c>
      <c r="G5" s="333" t="n">
        <v>0.8509572703612303</v>
      </c>
      <c r="H5" s="333" t="n">
        <v>1.01677368888888875</v>
      </c>
      <c r="I5" s="294" t="n">
        <v>0.0757521033955555367</v>
      </c>
      <c r="J5" s="294" t="n">
        <v>0.597108243854647824</v>
      </c>
      <c r="K5" s="294" t="n">
        <v>0.0391000000000000014</v>
      </c>
      <c r="L5" s="294" t="n">
        <v>0.254759456525287042</v>
      </c>
      <c r="M5" s="294" t="n">
        <v>0.0640239707139619085</v>
      </c>
      <c r="N5" s="333" t="n">
        <v>1.44074345005193099</v>
      </c>
      <c r="O5" s="333" t="n">
        <v>1.98828220778761651</v>
      </c>
      <c r="P5" s="333" t="n">
        <v>10.9733127163731492</v>
      </c>
      <c r="Q5" s="333" t="n">
        <v>17.9035333545198974</v>
      </c>
      <c r="R5" s="333" t="n">
        <v>3.58141180974873841</v>
      </c>
      <c r="S5" s="333" t="n">
        <v>34.875995857048089</v>
      </c>
      <c r="T5" s="294" t="n">
        <v>0.25756369764604643</v>
      </c>
      <c r="U5" s="294" t="n">
        <v>0.0270438975235997647</v>
      </c>
      <c r="V5" s="294" t="n">
        <v>0.0593985719771928089</v>
      </c>
      <c r="W5" s="294" t="n">
        <v>0.617933610271871459</v>
      </c>
      <c r="X5" s="294" t="n">
        <v>0.0762341613644455851</v>
      </c>
      <c r="Y5" s="294" t="n">
        <v>0.775324990658472135</v>
      </c>
      <c r="Z5" s="294" t="n">
        <v>0.775324990658472135</v>
      </c>
    </row>
    <row r="6" spans="1:26">
      <c r="A6" t="s">
        <v>454</v>
      </c>
      <c r="B6" t="n">
        <v>18</v>
      </c>
      <c r="C6" s="294" t="n">
        <v>0.226054285714285719</v>
      </c>
      <c r="D6" s="294" t="n">
        <v>0.0420803820540008999</v>
      </c>
      <c r="E6" s="294" t="n">
        <v>0.0396913108044093743</v>
      </c>
      <c r="F6" s="294" t="n">
        <v>0.277155831438862466</v>
      </c>
      <c r="G6" s="333" t="n">
        <v>0.592261996912578415</v>
      </c>
      <c r="H6" s="333" t="n">
        <v>1.19741706666666659</v>
      </c>
      <c r="I6" s="294" t="n">
        <v>0.0849287869866666334</v>
      </c>
      <c r="J6" s="294" t="n">
        <v>0.385902834962746155</v>
      </c>
      <c r="K6" s="294" t="n">
        <v>0.0360999999999999988</v>
      </c>
      <c r="L6" s="294" t="n">
        <v>0.596917464032391187</v>
      </c>
      <c r="M6" s="294" t="n">
        <v>0.0506103383784311411</v>
      </c>
      <c r="N6" s="333" t="n">
        <v>1.02156407952304296</v>
      </c>
      <c r="O6" s="333" t="n">
        <v>1.22163690225950483</v>
      </c>
      <c r="P6" s="333" t="n">
        <v>10.6157683009342954</v>
      </c>
      <c r="Q6" s="333" t="n">
        <v>30.8188830649112369</v>
      </c>
      <c r="R6" s="333" t="n">
        <v>2.05404067132069068</v>
      </c>
      <c r="S6" s="333" t="n">
        <v>17.2934656645066305</v>
      </c>
      <c r="T6" s="294" t="n">
        <v>-0.0206218035555143464</v>
      </c>
      <c r="U6" s="294" t="n">
        <v>0.116927597189354371</v>
      </c>
      <c r="V6" s="294" t="n">
        <v>0.0463946202983207812</v>
      </c>
      <c r="W6" s="294" t="n">
        <v>1.4732719193374491</v>
      </c>
      <c r="X6" s="294" t="n">
        <v>0.0863582585372848399</v>
      </c>
      <c r="Y6" s="294" t="n">
        <v>0.694885433313363166</v>
      </c>
      <c r="Z6" s="294" t="n">
        <v>0.694885433313363166</v>
      </c>
    </row>
    <row r="7" spans="1:26">
      <c r="A7" t="s">
        <v>455</v>
      </c>
      <c r="B7" t="n">
        <v>62</v>
      </c>
      <c r="C7" s="294" t="n">
        <v>0.0764248275862069271</v>
      </c>
      <c r="D7" s="294" t="n">
        <v>0.0954824802878223622</v>
      </c>
      <c r="E7" s="294" t="n">
        <v>0.237855159391705984</v>
      </c>
      <c r="F7" s="294" t="n">
        <v>0.201103994556720878</v>
      </c>
      <c r="G7" s="333" t="n">
        <v>0.92004456368593317</v>
      </c>
      <c r="H7" s="333" t="n">
        <v>1.03753543859649144</v>
      </c>
      <c r="I7" s="294" t="n">
        <v>0.0768068002807017702</v>
      </c>
      <c r="J7" s="294" t="n">
        <v>0.567369038246336554</v>
      </c>
      <c r="K7" s="294" t="n">
        <v>0.0391000000000000014</v>
      </c>
      <c r="L7" s="294" t="n">
        <v>0.220586602769019713</v>
      </c>
      <c r="M7" s="294" t="n">
        <v>0.0664192006251073686</v>
      </c>
      <c r="N7" s="333" t="n">
        <v>2.68808975842254094</v>
      </c>
      <c r="O7" s="333" t="n">
        <v>0.978800022915688395</v>
      </c>
      <c r="P7" s="333" t="n">
        <v>7.5875087565778454</v>
      </c>
      <c r="Q7" s="333" t="n">
        <v>10.6903931560254684</v>
      </c>
      <c r="R7" s="333" t="n">
        <v>2.91842014905972356</v>
      </c>
      <c r="S7" s="333" t="n">
        <v>20.0291937543494782</v>
      </c>
      <c r="T7" s="294" t="n">
        <v>0.112024041827478471</v>
      </c>
      <c r="U7" s="294" t="n">
        <v>0.0453808169578601195</v>
      </c>
      <c r="V7" s="294" t="n">
        <v>0.0738664281636598474</v>
      </c>
      <c r="W7" s="294" t="n">
        <v>1.03792004073760569</v>
      </c>
      <c r="X7" s="294" t="n">
        <v>0.2413902683524773</v>
      </c>
      <c r="Y7" s="294" t="n">
        <v>0.138537028491632297</v>
      </c>
      <c r="Z7" s="294" t="n">
        <v>0.138537028491632297</v>
      </c>
    </row>
    <row r="8" spans="1:26">
      <c r="A8" t="s">
        <v>456</v>
      </c>
      <c r="B8" t="n">
        <v>11</v>
      </c>
      <c r="C8" s="294" t="n">
        <v>0.0521888888888888847</v>
      </c>
      <c r="D8" s="294" t="n">
        <v>-0.000686634561966771084</v>
      </c>
      <c r="E8" s="294" t="n">
        <v>-0.0000678273955468440359</v>
      </c>
      <c r="F8" s="294" t="n">
        <v>0.28353698771444332</v>
      </c>
      <c r="G8" s="333" t="n">
        <v>0.322504159107871224</v>
      </c>
      <c r="H8" s="333" t="n">
        <v>0.637545454545454415</v>
      </c>
      <c r="I8" s="294" t="n">
        <v>0.056487309090909088</v>
      </c>
      <c r="J8" s="294" t="n">
        <v>0.333746704635359492</v>
      </c>
      <c r="K8" s="294" t="n">
        <v>0.0360999999999999988</v>
      </c>
      <c r="L8" s="294" t="n">
        <v>0.611283979332084115</v>
      </c>
      <c r="M8" s="294" t="n">
        <v>0.0387287092650118314</v>
      </c>
      <c r="N8" s="333" t="n">
        <v>0.135899819977677194</v>
      </c>
      <c r="O8" s="333" t="n">
        <v>8.45021087194870191</v>
      </c>
      <c r="P8" s="333" t="s">
        <v>457</v>
      </c>
      <c r="Q8" s="333" t="s">
        <v>457</v>
      </c>
      <c r="R8" s="333" t="n">
        <v>1.24382993372550965</v>
      </c>
      <c r="S8" s="333" t="n">
        <v>15.7559008015455486</v>
      </c>
      <c r="T8" s="294" t="s">
        <v>457</v>
      </c>
      <c r="U8" s="294" t="n">
        <v>0.00914724701797750228</v>
      </c>
      <c r="V8" s="294" t="n">
        <v>0.0114848659089857041</v>
      </c>
      <c r="W8" s="294" t="s">
        <v>457</v>
      </c>
      <c r="X8" s="294" t="n">
        <v>0.0993296920827411434</v>
      </c>
      <c r="Y8" s="294" t="n">
        <v>0.245728015342487627</v>
      </c>
      <c r="Z8" s="294" t="n">
        <v>0.245728015342487671</v>
      </c>
    </row>
    <row r="9" spans="1:26">
      <c r="A9" t="s">
        <v>458</v>
      </c>
      <c r="B9" t="n">
        <v>612</v>
      </c>
      <c r="C9" s="294" t="n">
        <v>0.0896419775280899067</v>
      </c>
      <c r="D9" s="294" t="n">
        <v>-0.0016135432004762218</v>
      </c>
      <c r="E9" s="294" t="n">
        <v>-0.000314265108406230365</v>
      </c>
      <c r="F9" s="294" t="n">
        <v>0.293067802942210776</v>
      </c>
      <c r="G9" s="333" t="n">
        <v>0.385726414640554971</v>
      </c>
      <c r="H9" s="333" t="n">
        <v>0.501711266313932835</v>
      </c>
      <c r="I9" s="294" t="n">
        <v>0.0495869323287477748</v>
      </c>
      <c r="J9" s="294" t="n">
        <v>0.320756568364806327</v>
      </c>
      <c r="K9" s="294" t="n">
        <v>0.0360999999999999988</v>
      </c>
      <c r="L9" s="294" t="n">
        <v>0.369782523333555879</v>
      </c>
      <c r="M9" s="294" t="n">
        <v>0.0413959046780325757</v>
      </c>
      <c r="N9" s="333" t="n">
        <v>0.261662760372154413</v>
      </c>
      <c r="O9" s="333" t="n">
        <v>6.27008371108123796</v>
      </c>
      <c r="P9" s="333" t="s">
        <v>457</v>
      </c>
      <c r="Q9" s="333" t="s">
        <v>457</v>
      </c>
      <c r="R9" s="333" t="n">
        <v>1.50057332085374728</v>
      </c>
      <c r="S9" s="333" t="n">
        <v>23.1468902729832173</v>
      </c>
      <c r="T9" s="294" t="s">
        <v>457</v>
      </c>
      <c r="U9" s="294" t="n">
        <v>0.0444066943485061127</v>
      </c>
      <c r="V9" s="294" t="n">
        <v>0.0475799901455418084</v>
      </c>
      <c r="W9" s="294" t="s">
        <v>457</v>
      </c>
      <c r="X9" s="294" t="n">
        <v>0.0902827852260531216</v>
      </c>
      <c r="Y9" s="294" t="n">
        <v>0.309118497049171292</v>
      </c>
      <c r="Z9" s="294" t="n">
        <v>0.309118497049171292</v>
      </c>
    </row>
    <row r="10" spans="1:26">
      <c r="A10" t="s">
        <v>459</v>
      </c>
      <c r="B10" t="n">
        <v>28</v>
      </c>
      <c r="C10" s="294" t="n">
        <v>0.113272727272727236</v>
      </c>
      <c r="D10" s="294" t="n">
        <v>0.234141233841788177</v>
      </c>
      <c r="E10" s="294" t="n">
        <v>0.243222354823907283</v>
      </c>
      <c r="F10" s="294" t="n">
        <v>0.300157039935960057</v>
      </c>
      <c r="G10" s="333" t="n">
        <v>1.11981472737552501</v>
      </c>
      <c r="H10" s="333" t="n">
        <v>1.32619617391304345</v>
      </c>
      <c r="I10" s="294" t="n">
        <v>0.0914707656347825981</v>
      </c>
      <c r="J10" s="294" t="n">
        <v>0.501369948315396829</v>
      </c>
      <c r="K10" s="294" t="n">
        <v>0.0391000000000000014</v>
      </c>
      <c r="L10" s="294" t="n">
        <v>0.207260727462354533</v>
      </c>
      <c r="M10" s="294" t="n">
        <v>0.0786714279850503484</v>
      </c>
      <c r="N10" s="333" t="n">
        <v>1.15571473565487914</v>
      </c>
      <c r="O10" s="333" t="n">
        <v>5.04808333365013251</v>
      </c>
      <c r="P10" s="333" t="n">
        <v>17.2614916218693502</v>
      </c>
      <c r="Q10" s="333" t="n">
        <v>21.5460719333070969</v>
      </c>
      <c r="R10" s="333" t="n">
        <v>4.00506410518711142</v>
      </c>
      <c r="S10" s="333" t="n">
        <v>49.2889446004003275</v>
      </c>
      <c r="T10" s="294" t="n">
        <v>0.165096738643954914</v>
      </c>
      <c r="U10" s="294" t="n">
        <v>0.0827207908796234115</v>
      </c>
      <c r="V10" s="294" t="n">
        <v>0.673167893258515093</v>
      </c>
      <c r="W10" s="294" t="n">
        <v>3.98428299356934446</v>
      </c>
      <c r="X10" s="294" t="n">
        <v>0.251564110689949372</v>
      </c>
      <c r="Y10" s="294" t="n">
        <v>0.203747568069930507</v>
      </c>
      <c r="Z10" s="294" t="n">
        <v>0.203747568069930507</v>
      </c>
    </row>
    <row r="11" spans="1:26">
      <c r="A11" t="s">
        <v>460</v>
      </c>
      <c r="B11" t="n">
        <v>35</v>
      </c>
      <c r="C11" s="294" t="n">
        <v>0.0948121428571428382</v>
      </c>
      <c r="D11" s="294" t="n">
        <v>0.19326807139961705</v>
      </c>
      <c r="E11" s="294" t="n">
        <v>0.249153654659385859</v>
      </c>
      <c r="F11" s="294" t="n">
        <v>0.261940105736087592</v>
      </c>
      <c r="G11" s="333" t="n">
        <v>0.626805581235504761</v>
      </c>
      <c r="H11" s="333" t="n">
        <v>0.703796148148148415</v>
      </c>
      <c r="I11" s="294" t="n">
        <v>0.0598528443259259291</v>
      </c>
      <c r="J11" s="294" t="n">
        <v>0.453341683039354582</v>
      </c>
      <c r="K11" s="294" t="n">
        <v>0.0391000000000000014</v>
      </c>
      <c r="L11" s="294" t="n">
        <v>0.187395230405584172</v>
      </c>
      <c r="M11" s="294" t="n">
        <v>0.0542053434397718004</v>
      </c>
      <c r="N11" s="333" t="n">
        <v>1.37745507974751491</v>
      </c>
      <c r="O11" s="333" t="n">
        <v>4.20211290673931526</v>
      </c>
      <c r="P11" s="333" t="n">
        <v>17.9248773666703656</v>
      </c>
      <c r="Q11" s="333" t="n">
        <v>21.7278452320810409</v>
      </c>
      <c r="R11" s="333" t="n">
        <v>9.95093840395868412</v>
      </c>
      <c r="S11" s="333" t="n">
        <v>39.4377303468091398</v>
      </c>
      <c r="T11" s="294" t="n">
        <v>-0.0344544925850974115</v>
      </c>
      <c r="U11" s="294" t="n">
        <v>0.0460236505774755944</v>
      </c>
      <c r="V11" s="294" t="n">
        <v>0.0511086965327901765</v>
      </c>
      <c r="W11" s="294" t="n">
        <v>0.412681108325285795</v>
      </c>
      <c r="X11" s="294" t="n">
        <v>0.283888728197149121</v>
      </c>
      <c r="Y11" s="294" t="n">
        <v>0.848993118939659297</v>
      </c>
      <c r="Z11" s="294" t="n">
        <v>0.848993118939659297</v>
      </c>
    </row>
    <row r="12" spans="1:26">
      <c r="A12" t="s">
        <v>461</v>
      </c>
      <c r="B12" t="n">
        <v>27</v>
      </c>
      <c r="C12" s="294" t="n">
        <v>0.0811642857142856755</v>
      </c>
      <c r="D12" s="294" t="n">
        <v>0.234542732601868087</v>
      </c>
      <c r="E12" s="294" t="n">
        <v>0.213786553663064005</v>
      </c>
      <c r="F12" s="294" t="n">
        <v>0.285827496929664306</v>
      </c>
      <c r="G12" s="333" t="n">
        <v>0.650978209767240834</v>
      </c>
      <c r="H12" s="333" t="n">
        <v>1.11964448000000005</v>
      </c>
      <c r="I12" s="294" t="n">
        <v>0.0809779395840000049</v>
      </c>
      <c r="J12" s="294" t="n">
        <v>0.523008317769043707</v>
      </c>
      <c r="K12" s="294" t="n">
        <v>0.0391000000000000014</v>
      </c>
      <c r="L12" s="294" t="n">
        <v>0.528688285340020059</v>
      </c>
      <c r="M12" s="294" t="n">
        <v>0.0538763526421313266</v>
      </c>
      <c r="N12" s="333" t="n">
        <v>1.10050459953420843</v>
      </c>
      <c r="O12" s="333" t="n">
        <v>2.83364611453068491</v>
      </c>
      <c r="P12" s="333" t="n">
        <v>9.18539909336583804</v>
      </c>
      <c r="Q12" s="333" t="n">
        <v>12.0818612104887997</v>
      </c>
      <c r="R12" s="333" t="n">
        <v>7.3378902441074576</v>
      </c>
      <c r="S12" s="333" t="n">
        <v>27.8403936517717447</v>
      </c>
      <c r="T12" s="294" t="n">
        <v>0.229561838483986946</v>
      </c>
      <c r="U12" s="294" t="n">
        <v>0.026785461775451842</v>
      </c>
      <c r="V12" s="294" t="n">
        <v>0.0549381121733375366</v>
      </c>
      <c r="W12" s="294" t="n">
        <v>0.435741850997512969</v>
      </c>
      <c r="X12" s="294" t="n">
        <v>0.181053545232875877</v>
      </c>
      <c r="Y12" s="294" t="n">
        <v>0.405842880029018005</v>
      </c>
      <c r="Z12" s="294" t="n">
        <v>0.405842880029017916</v>
      </c>
    </row>
    <row r="13" spans="1:26">
      <c r="A13" t="s">
        <v>462</v>
      </c>
      <c r="B13" t="n">
        <v>42</v>
      </c>
      <c r="C13" s="294" t="n">
        <v>0.0782126086956521682</v>
      </c>
      <c r="D13" s="294" t="n">
        <v>0.00109864364111718871</v>
      </c>
      <c r="E13" s="294" t="n">
        <v>0.000182215726668713778</v>
      </c>
      <c r="F13" s="294" t="n">
        <v>0.285407713157921972</v>
      </c>
      <c r="G13" s="333" t="n">
        <v>0.544174668263626593</v>
      </c>
      <c r="H13" s="333" t="n">
        <v>1.23795329729729731</v>
      </c>
      <c r="I13" s="294" t="n">
        <v>0.0869880275027026961</v>
      </c>
      <c r="J13" s="294" t="n">
        <v>0.42480670510953038</v>
      </c>
      <c r="K13" s="294" t="n">
        <v>0.0391000000000000014</v>
      </c>
      <c r="L13" s="294" t="n">
        <v>0.687425488515035799</v>
      </c>
      <c r="M13" s="294" t="n">
        <v>0.0476177760184107157</v>
      </c>
      <c r="N13" s="333" t="n">
        <v>0.19332464920579584</v>
      </c>
      <c r="O13" s="333" t="n">
        <v>6.74577283278835704</v>
      </c>
      <c r="P13" s="333" t="s">
        <v>457</v>
      </c>
      <c r="Q13" s="333" t="s">
        <v>457</v>
      </c>
      <c r="R13" s="333" t="n">
        <v>1.5583716532147851</v>
      </c>
      <c r="S13" s="333" t="n">
        <v>47.562089388924953</v>
      </c>
      <c r="T13" s="294" t="s">
        <v>457</v>
      </c>
      <c r="U13" s="294" t="n">
        <v>0.0408149900165018664</v>
      </c>
      <c r="V13" s="294" t="n">
        <v>0.0625767863076962083</v>
      </c>
      <c r="W13" s="294" t="n">
        <v>453.970625258698931</v>
      </c>
      <c r="X13" s="294" t="n">
        <v>0.114126645641310631</v>
      </c>
      <c r="Y13" s="294" t="n">
        <v>0.206253815950070507</v>
      </c>
      <c r="Z13" s="294" t="n">
        <v>0.20625381595007064</v>
      </c>
    </row>
    <row r="14" spans="1:26">
      <c r="A14" t="s">
        <v>463</v>
      </c>
      <c r="B14" t="n">
        <v>39</v>
      </c>
      <c r="C14" s="294" t="n">
        <v>0.127341071428571428</v>
      </c>
      <c r="D14" s="294" t="n">
        <v>0.103261678826336678</v>
      </c>
      <c r="E14" s="294" t="n">
        <v>0.182743405308169109</v>
      </c>
      <c r="F14" s="294" t="n">
        <v>0.300320011876178805</v>
      </c>
      <c r="G14" s="333" t="n">
        <v>0.985934168611929884</v>
      </c>
      <c r="H14" s="333" t="n">
        <v>1.10891152941176485</v>
      </c>
      <c r="I14" s="294" t="n">
        <v>0.0804327056941176366</v>
      </c>
      <c r="J14" s="294" t="n">
        <v>0.410147358148180441</v>
      </c>
      <c r="K14" s="294" t="n">
        <v>0.0391000000000000014</v>
      </c>
      <c r="L14" s="294" t="n">
        <v>0.176668556430430979</v>
      </c>
      <c r="M14" s="294" t="n">
        <v>0.0714726585122308578</v>
      </c>
      <c r="N14" s="333" t="n">
        <v>2.30768956222424437</v>
      </c>
      <c r="O14" s="333" t="n">
        <v>1.77812381773830808</v>
      </c>
      <c r="P14" s="333" t="n">
        <v>12.797714594989424</v>
      </c>
      <c r="Q14" s="333" t="n">
        <v>17.2246775417535716</v>
      </c>
      <c r="R14" s="333" t="n">
        <v>4.7670484950706884</v>
      </c>
      <c r="S14" s="333" t="n">
        <v>26.5523117774940012</v>
      </c>
      <c r="T14" s="294" t="n">
        <v>0.155988840751696163</v>
      </c>
      <c r="U14" s="294" t="n">
        <v>0.0290324557878852207</v>
      </c>
      <c r="V14" s="294" t="n">
        <v>0.0305705216278010239</v>
      </c>
      <c r="W14" s="294" t="n">
        <v>0.544857956988641945</v>
      </c>
      <c r="X14" s="294" t="n">
        <v>0.238122423922128057</v>
      </c>
      <c r="Y14" s="294" t="n">
        <v>0.152913388330547768</v>
      </c>
      <c r="Z14" s="294" t="n">
        <v>0.152913388330547795</v>
      </c>
    </row>
    <row r="15" spans="1:26">
      <c r="A15" t="s">
        <v>464</v>
      </c>
      <c r="B15" t="n">
        <v>169</v>
      </c>
      <c r="C15" s="294" t="n">
        <v>0.0514568493150684869</v>
      </c>
      <c r="D15" s="294" t="n">
        <v>0.105252749843222215</v>
      </c>
      <c r="E15" s="294" t="n">
        <v>0.263661356256410295</v>
      </c>
      <c r="F15" s="294" t="n">
        <v>0.309621818822984007</v>
      </c>
      <c r="G15" s="333" t="n">
        <v>1.00673036385561465</v>
      </c>
      <c r="H15" s="333" t="n">
        <v>1.1687211594202902</v>
      </c>
      <c r="I15" s="294" t="n">
        <v>0.0834710348985507267</v>
      </c>
      <c r="J15" s="294" t="n">
        <v>0.49449374951606071</v>
      </c>
      <c r="K15" s="294" t="n">
        <v>0.0391000000000000014</v>
      </c>
      <c r="L15" s="294" t="n">
        <v>0.215297176509107047</v>
      </c>
      <c r="M15" s="294" t="n">
        <v>0.0718977276617442396</v>
      </c>
      <c r="N15" s="333" t="n">
        <v>2.81632569551897838</v>
      </c>
      <c r="O15" s="333" t="n">
        <v>1.94317384896961105</v>
      </c>
      <c r="P15" s="333" t="n">
        <v>12.4004807551534224</v>
      </c>
      <c r="Q15" s="333" t="n">
        <v>18.2922362600594823</v>
      </c>
      <c r="R15" s="333" t="n">
        <v>4.94911916140714592</v>
      </c>
      <c r="S15" s="333" t="n">
        <v>51.5959324491450388</v>
      </c>
      <c r="T15" s="294" t="n">
        <v>0.163221141117816071</v>
      </c>
      <c r="U15" s="294" t="n">
        <v>0.0248678150637643158</v>
      </c>
      <c r="V15" s="294" t="n">
        <v>0.034798924920530574</v>
      </c>
      <c r="W15" s="294" t="n">
        <v>0.640867541552703734</v>
      </c>
      <c r="X15" s="294" t="n">
        <v>0.183159298827962083</v>
      </c>
      <c r="Y15" s="294" t="n">
        <v>0.263330297088361975</v>
      </c>
      <c r="Z15" s="294" t="n">
        <v>0.263330297088361975</v>
      </c>
    </row>
    <row r="16" spans="1:26">
      <c r="A16" t="s">
        <v>465</v>
      </c>
      <c r="B16" t="n">
        <v>14</v>
      </c>
      <c r="C16" s="294" t="n">
        <v>0.117881250000000004</v>
      </c>
      <c r="D16" s="294" t="n">
        <v>0.182467619515876649</v>
      </c>
      <c r="E16" s="294" t="n">
        <v>0.127220642646932003</v>
      </c>
      <c r="F16" s="294" t="n">
        <v>0.335638722145497459</v>
      </c>
      <c r="G16" s="333" t="n">
        <v>0.667468344782126799</v>
      </c>
      <c r="H16" s="333" t="n">
        <v>0.920903200000000055</v>
      </c>
      <c r="I16" s="294" t="n">
        <v>0.0708818825599999958</v>
      </c>
      <c r="J16" s="294" t="n">
        <v>0.363257550403488727</v>
      </c>
      <c r="K16" s="294" t="n">
        <v>0.0360999999999999988</v>
      </c>
      <c r="L16" s="294" t="n">
        <v>0.346621544363091294</v>
      </c>
      <c r="M16" s="294" t="n">
        <v>0.0558226036508352941</v>
      </c>
      <c r="N16" s="333" t="n">
        <v>0.896516447305023334</v>
      </c>
      <c r="O16" s="333" t="n">
        <v>3.43735384151305334</v>
      </c>
      <c r="P16" s="333" t="n">
        <v>9.68085965757349065</v>
      </c>
      <c r="Q16" s="333" t="n">
        <v>18.262456636695692</v>
      </c>
      <c r="R16" s="333" t="n">
        <v>2.80426648547256505</v>
      </c>
      <c r="S16" s="333" t="n">
        <v>111.31451367422612</v>
      </c>
      <c r="T16" s="294" t="n">
        <v>-0.0112220858283477432</v>
      </c>
      <c r="U16" s="294" t="n">
        <v>0.12305374947484089</v>
      </c>
      <c r="V16" s="294" t="n">
        <v>-0.0239880446389096624</v>
      </c>
      <c r="W16" s="294" t="n">
        <v>-0.213282627403834901</v>
      </c>
      <c r="X16" s="294" t="n">
        <v>0.110547871521646268</v>
      </c>
      <c r="Y16" s="294" t="n">
        <v>0.332120229548053691</v>
      </c>
      <c r="Z16" s="294" t="n">
        <v>0.332120229548053691</v>
      </c>
    </row>
    <row r="17" spans="1:26">
      <c r="A17" t="s">
        <v>466</v>
      </c>
      <c r="B17" t="n">
        <v>38</v>
      </c>
      <c r="C17" s="294" t="n">
        <v>0.0162533333333333285</v>
      </c>
      <c r="D17" s="294" t="n">
        <v>0.109360010170723076</v>
      </c>
      <c r="E17" s="294" t="n">
        <v>0.144312554848177754</v>
      </c>
      <c r="F17" s="294" t="n">
        <v>0.235568392598776466</v>
      </c>
      <c r="G17" s="333" t="n">
        <v>0.964899885470588181</v>
      </c>
      <c r="H17" s="333" t="n">
        <v>1.19762105263157848</v>
      </c>
      <c r="I17" s="294" t="n">
        <v>0.0849391494736841679</v>
      </c>
      <c r="J17" s="294" t="n">
        <v>0.593901840787276836</v>
      </c>
      <c r="K17" s="294" t="n">
        <v>0.0391000000000000014</v>
      </c>
      <c r="L17" s="294" t="n">
        <v>0.292162698686482702</v>
      </c>
      <c r="M17" s="294" t="n">
        <v>0.0688050050934855939</v>
      </c>
      <c r="N17" s="333" t="n">
        <v>1.46195662411921568</v>
      </c>
      <c r="O17" s="333" t="n">
        <v>1.75939378790054963</v>
      </c>
      <c r="P17" s="333" t="n">
        <v>9.66699820653110997</v>
      </c>
      <c r="Q17" s="333" t="n">
        <v>16.062965403914113</v>
      </c>
      <c r="R17" s="333" t="n">
        <v>3.46763323911888754</v>
      </c>
      <c r="S17" s="333" t="n">
        <v>38.3045477279008537</v>
      </c>
      <c r="T17" s="294" t="n">
        <v>0.202696144874591999</v>
      </c>
      <c r="U17" s="294" t="n">
        <v>0.0549374222179014104</v>
      </c>
      <c r="V17" s="294" t="n">
        <v>0.0312584045173910496</v>
      </c>
      <c r="W17" s="294" t="n">
        <v>0.478166132929086807</v>
      </c>
      <c r="X17" s="294" t="n">
        <v>0.186020957197234704</v>
      </c>
      <c r="Y17" s="294" t="n">
        <v>0.272878123510477311</v>
      </c>
      <c r="Z17" s="294" t="n">
        <v>0.272878123510477311</v>
      </c>
    </row>
    <row r="18" spans="1:26">
      <c r="A18" t="s">
        <v>467</v>
      </c>
      <c r="B18" t="n">
        <v>7</v>
      </c>
      <c r="C18" s="294" t="n">
        <v>-0.0254300000000000015</v>
      </c>
      <c r="D18" s="294" t="n">
        <v>0.122428682559697921</v>
      </c>
      <c r="E18" s="294" t="n">
        <v>0.165906001975324031</v>
      </c>
      <c r="F18" s="294" t="n">
        <v>0.222571570412047004</v>
      </c>
      <c r="G18" s="333" t="n">
        <v>1.79468603059752185</v>
      </c>
      <c r="H18" s="333" t="n">
        <v>2.0339520000000002</v>
      </c>
      <c r="I18" s="294" t="n">
        <v>0.127424761600000025</v>
      </c>
      <c r="J18" s="294" t="n">
        <v>0.686228381928902209</v>
      </c>
      <c r="K18" s="294" t="n">
        <v>0.0466000000000000014</v>
      </c>
      <c r="L18" s="294" t="n">
        <v>0.2137472062439985</v>
      </c>
      <c r="M18" s="294" t="n">
        <v>0.107758145858029941</v>
      </c>
      <c r="N18" s="333" t="n">
        <v>1.53045833234665434</v>
      </c>
      <c r="O18" s="333" t="n">
        <v>2.89939104304861939</v>
      </c>
      <c r="P18" s="333" t="n">
        <v>15.832288275324883</v>
      </c>
      <c r="Q18" s="333" t="n">
        <v>24.0928022315109587</v>
      </c>
      <c r="R18" s="333" t="n">
        <v>1.73774015455635</v>
      </c>
      <c r="S18" s="333" t="n">
        <v>30.2154867234013302</v>
      </c>
      <c r="T18" s="294" t="n">
        <v>0.343543907085356093</v>
      </c>
      <c r="U18" s="294" t="n">
        <v>0.0599582129908437178</v>
      </c>
      <c r="V18" s="294" t="n">
        <v>-0.0121084569532354536</v>
      </c>
      <c r="W18" s="294" t="n">
        <v>-0.0144618051123177471</v>
      </c>
      <c r="X18" s="294" t="n">
        <v>0.142011167009926336</v>
      </c>
      <c r="Y18" s="294" t="n">
        <v>0.580613886256968392</v>
      </c>
      <c r="Z18" s="294" t="n">
        <v>0.580613886256968392</v>
      </c>
    </row>
    <row r="19" spans="1:26">
      <c r="A19" t="s">
        <v>468</v>
      </c>
      <c r="B19" t="n">
        <v>99</v>
      </c>
      <c r="C19" s="294" t="n">
        <v>0.0146870588235294104</v>
      </c>
      <c r="D19" s="294" t="n">
        <v>0.135567449572648902</v>
      </c>
      <c r="E19" s="294" t="n">
        <v>0.16740059629441264</v>
      </c>
      <c r="F19" s="294" t="n">
        <v>0.228668095171126051</v>
      </c>
      <c r="G19" s="333" t="n">
        <v>0.948499564358124836</v>
      </c>
      <c r="H19" s="333" t="n">
        <v>1.11458629885057481</v>
      </c>
      <c r="I19" s="294" t="n">
        <v>0.0807209839816091979</v>
      </c>
      <c r="J19" s="294" t="n">
        <v>0.596867731506918542</v>
      </c>
      <c r="K19" s="294" t="n">
        <v>0.0391000000000000014</v>
      </c>
      <c r="L19" s="294" t="n">
        <v>0.224829988553921867</v>
      </c>
      <c r="M19" s="294" t="n">
        <v>0.0692535340168310309</v>
      </c>
      <c r="N19" s="333" t="n">
        <v>1.36597690951230688</v>
      </c>
      <c r="O19" s="333" t="n">
        <v>2.79055939687389731</v>
      </c>
      <c r="P19" s="333" t="n">
        <v>13.8934712730612446</v>
      </c>
      <c r="Q19" s="333" t="n">
        <v>20.5958303294669598</v>
      </c>
      <c r="R19" s="333" t="n">
        <v>4.1536923295953958</v>
      </c>
      <c r="S19" s="333" t="n">
        <v>165.877706834765064</v>
      </c>
      <c r="T19" s="294" t="n">
        <v>0.214858680055731011</v>
      </c>
      <c r="U19" s="294" t="n">
        <v>0.050428110516129685</v>
      </c>
      <c r="V19" s="294" t="n">
        <v>0.1043977053397388</v>
      </c>
      <c r="W19" s="294" t="n">
        <v>1.05839699859670211</v>
      </c>
      <c r="X19" s="294" t="n">
        <v>0.169956237982411684</v>
      </c>
      <c r="Y19" s="294" t="n">
        <v>0.397852744470357855</v>
      </c>
      <c r="Z19" s="294" t="n">
        <v>0.397852744470357855</v>
      </c>
    </row>
    <row r="20" spans="1:26">
      <c r="A20" t="s">
        <v>469</v>
      </c>
      <c r="B20" t="n">
        <v>30</v>
      </c>
      <c r="C20" s="294" t="n">
        <v>-0.0409057142857142875</v>
      </c>
      <c r="D20" s="294" t="n">
        <v>0.0871147659664154617</v>
      </c>
      <c r="E20" s="294" t="n">
        <v>0.0853143759367321763</v>
      </c>
      <c r="F20" s="294" t="n">
        <v>0.048345834134666763</v>
      </c>
      <c r="G20" s="333" t="n">
        <v>1.0423911214911199</v>
      </c>
      <c r="H20" s="333" t="n">
        <v>1.24878599999999995</v>
      </c>
      <c r="I20" s="294" t="n">
        <v>0.0875383288000000093</v>
      </c>
      <c r="J20" s="294" t="n">
        <v>0.906147353765782348</v>
      </c>
      <c r="K20" s="294" t="n">
        <v>0.0816000000000000014</v>
      </c>
      <c r="L20" s="294" t="n">
        <v>0.312311948643245962</v>
      </c>
      <c r="M20" s="294" t="n">
        <v>0.0795674005585583632</v>
      </c>
      <c r="N20" s="333" t="n">
        <v>1.03120852774836136</v>
      </c>
      <c r="O20" s="333" t="n">
        <v>1.01242315994459298</v>
      </c>
      <c r="P20" s="333" t="n">
        <v>3.92829085549658874</v>
      </c>
      <c r="Q20" s="333" t="n">
        <v>9.2366475521821112</v>
      </c>
      <c r="R20" s="333" t="n">
        <v>2.02623354671037115</v>
      </c>
      <c r="S20" s="333" t="n">
        <v>1276.02190045714246</v>
      </c>
      <c r="T20" s="294" t="n">
        <v>0.0434461104411731291</v>
      </c>
      <c r="U20" s="294" t="n">
        <v>0.0325975465277663901</v>
      </c>
      <c r="V20" s="294" t="n">
        <v>-0.0645745552790554811</v>
      </c>
      <c r="W20" s="294" t="n">
        <v>-0.498835408888259924</v>
      </c>
      <c r="X20" s="294" t="n">
        <v>-6.46386865024230151</v>
      </c>
      <c r="Y20" s="294" t="n">
        <v>0.157285510345633845</v>
      </c>
      <c r="Z20" s="294" t="n">
        <v>0.157285510345633899</v>
      </c>
    </row>
    <row r="21" spans="1:26">
      <c r="A21" t="s">
        <v>375</v>
      </c>
      <c r="B21" t="n">
        <v>111</v>
      </c>
      <c r="C21" s="294" t="n">
        <v>0.153050925925925956</v>
      </c>
      <c r="D21" s="294" t="n">
        <v>0.0834807374139880309</v>
      </c>
      <c r="E21" s="294" t="n">
        <v>0.279607375903117195</v>
      </c>
      <c r="F21" s="294" t="n">
        <v>0.143465875533681508</v>
      </c>
      <c r="G21" s="333" t="n">
        <v>0.944031765323799732</v>
      </c>
      <c r="H21" s="333" t="n">
        <v>1.10130924731182844</v>
      </c>
      <c r="I21" s="294" t="n">
        <v>0.0800465097634408806</v>
      </c>
      <c r="J21" s="294" t="n">
        <v>0.485305693986630082</v>
      </c>
      <c r="K21" s="294" t="n">
        <v>0.0391000000000000014</v>
      </c>
      <c r="L21" s="294" t="n">
        <v>0.235652121012867433</v>
      </c>
      <c r="M21" s="294" t="n">
        <v>0.0681860183860272162</v>
      </c>
      <c r="N21" s="333" t="n">
        <v>3.69460391301022018</v>
      </c>
      <c r="O21" s="333" t="n">
        <v>1.33778091694970591</v>
      </c>
      <c r="P21" s="333" t="n">
        <v>11.0996656039849722</v>
      </c>
      <c r="Q21" s="333" t="n">
        <v>16.0926208513740647</v>
      </c>
      <c r="R21" s="333" t="n">
        <v>4.03725685134886092</v>
      </c>
      <c r="S21" s="333" t="n">
        <v>40.329456524881202</v>
      </c>
      <c r="T21" s="294" t="n">
        <v>0.126486633389894609</v>
      </c>
      <c r="U21" s="294" t="n">
        <v>0.0196878146863658223</v>
      </c>
      <c r="V21" s="294" t="n">
        <v>0.0144033395759070899</v>
      </c>
      <c r="W21" s="294" t="n">
        <v>0.229962483356305203</v>
      </c>
      <c r="X21" s="294" t="n">
        <v>0.28662240638373282</v>
      </c>
      <c r="Y21" s="294" t="n">
        <v>0.385521732556198096</v>
      </c>
      <c r="Z21" s="294" t="n">
        <v>0.385521732556198096</v>
      </c>
    </row>
    <row r="22" spans="1:26">
      <c r="A22" t="s">
        <v>470</v>
      </c>
      <c r="B22" t="n">
        <v>58</v>
      </c>
      <c r="C22" s="294" t="n">
        <v>-0.0267333333333333423</v>
      </c>
      <c r="D22" s="294" t="n">
        <v>0.20009080628312641</v>
      </c>
      <c r="E22" s="294" t="n">
        <v>0.238597852854486137</v>
      </c>
      <c r="F22" s="294" t="n">
        <v>0.240092097732561349</v>
      </c>
      <c r="G22" s="333" t="n">
        <v>0.92832562744044651</v>
      </c>
      <c r="H22" s="333" t="n">
        <v>1.00965507692307721</v>
      </c>
      <c r="I22" s="294" t="n">
        <v>0.0753904779076923148</v>
      </c>
      <c r="J22" s="294" t="n">
        <v>0.613784825468181516</v>
      </c>
      <c r="K22" s="294" t="n">
        <v>0.0391000000000000014</v>
      </c>
      <c r="L22" s="294" t="n">
        <v>0.153754513597396514</v>
      </c>
      <c r="M22" s="294" t="n">
        <v>0.0683678207731800569</v>
      </c>
      <c r="N22" s="333" t="n">
        <v>1.25483279148332127</v>
      </c>
      <c r="O22" s="333" t="n">
        <v>3.03329712638372406</v>
      </c>
      <c r="P22" s="333" t="n">
        <v>12.0114153974996931</v>
      </c>
      <c r="Q22" s="333" t="n">
        <v>15.2326517044562433</v>
      </c>
      <c r="R22" s="333" t="n">
        <v>5.42053014416399837</v>
      </c>
      <c r="S22" s="333" t="n">
        <v>108.614479481636423</v>
      </c>
      <c r="T22" s="294" t="n">
        <v>-0.0262071376343527218</v>
      </c>
      <c r="U22" s="294" t="n">
        <v>0.0468838506177016079</v>
      </c>
      <c r="V22" s="294" t="n">
        <v>0.0199260981912666892</v>
      </c>
      <c r="W22" s="294" t="n">
        <v>0.0304245768849126419</v>
      </c>
      <c r="X22" s="294" t="n">
        <v>0.285494813352927235</v>
      </c>
      <c r="Y22" s="294" t="n">
        <v>0.289439530689422</v>
      </c>
      <c r="Z22" s="294" t="n">
        <v>0.289439530689422</v>
      </c>
    </row>
    <row r="23" spans="1:26">
      <c r="A23" t="s">
        <v>471</v>
      </c>
      <c r="B23" t="n">
        <v>49</v>
      </c>
      <c r="C23" s="294" t="n">
        <v>0.0694502941176470845</v>
      </c>
      <c r="D23" s="294" t="n">
        <v>0.0961770997587659693</v>
      </c>
      <c r="E23" s="294" t="n">
        <v>0.105881509594507284</v>
      </c>
      <c r="F23" s="294" t="n">
        <v>0.308205134117158863</v>
      </c>
      <c r="G23" s="333" t="n">
        <v>0.95257769240158634</v>
      </c>
      <c r="H23" s="333" t="n">
        <v>1.12069657142857193</v>
      </c>
      <c r="I23" s="294" t="n">
        <v>0.0810313858285714517</v>
      </c>
      <c r="J23" s="294" t="n">
        <v>0.456679863406163911</v>
      </c>
      <c r="K23" s="294" t="n">
        <v>0.0391000000000000014</v>
      </c>
      <c r="L23" s="294" t="n">
        <v>0.245092154823194042</v>
      </c>
      <c r="M23" s="294" t="n">
        <v>0.0684543873402632741</v>
      </c>
      <c r="N23" s="333" t="n">
        <v>1.33229529370564137</v>
      </c>
      <c r="O23" s="333" t="n">
        <v>2.14254359618396473</v>
      </c>
      <c r="P23" s="333" t="n">
        <v>14.5085444812920255</v>
      </c>
      <c r="Q23" s="333" t="n">
        <v>22.1828582731240793</v>
      </c>
      <c r="R23" s="333" t="n">
        <v>4.21037631068144158</v>
      </c>
      <c r="S23" s="333" t="n">
        <v>41.9970465259440928</v>
      </c>
      <c r="T23" s="294" t="n">
        <v>0.158321794309092994</v>
      </c>
      <c r="U23" s="294" t="n">
        <v>0.0556926871472234453</v>
      </c>
      <c r="V23" s="294" t="n">
        <v>0.0354267381013338767</v>
      </c>
      <c r="W23" s="294" t="n">
        <v>0.678246249936407608</v>
      </c>
      <c r="X23" s="294" t="n">
        <v>0.132329041560207616</v>
      </c>
      <c r="Y23" s="294" t="n">
        <v>0.576292018241908455</v>
      </c>
      <c r="Z23" s="294" t="n">
        <v>0.576292018241908455</v>
      </c>
    </row>
    <row r="24" spans="1:26">
      <c r="A24" t="s">
        <v>472</v>
      </c>
      <c r="B24" t="n">
        <v>24</v>
      </c>
      <c r="C24" s="294" t="n">
        <v>0.0286733333333333285</v>
      </c>
      <c r="D24" s="294" t="n">
        <v>0.130069373601686822</v>
      </c>
      <c r="E24" s="294" t="n">
        <v>0.109776375286565099</v>
      </c>
      <c r="F24" s="294" t="n">
        <v>0.240492491600638436</v>
      </c>
      <c r="G24" s="333" t="n">
        <v>1.0135440097808579</v>
      </c>
      <c r="H24" s="333" t="n">
        <v>1.19447105882352922</v>
      </c>
      <c r="I24" s="294" t="n">
        <v>0.0847791297882352701</v>
      </c>
      <c r="J24" s="294" t="n">
        <v>0.268230434646967941</v>
      </c>
      <c r="K24" s="294" t="n">
        <v>0.0360999999999999988</v>
      </c>
      <c r="L24" s="294" t="n">
        <v>0.245208558323290804</v>
      </c>
      <c r="M24" s="294" t="n">
        <v>0.0707181036031167576</v>
      </c>
      <c r="N24" s="333" t="n">
        <v>0.959444347985589729</v>
      </c>
      <c r="O24" s="333" t="n">
        <v>2.62301935709374456</v>
      </c>
      <c r="P24" s="333" t="n">
        <v>14.6856977220146945</v>
      </c>
      <c r="Q24" s="333" t="n">
        <v>20.2561017026727832</v>
      </c>
      <c r="R24" s="333" t="n">
        <v>2.03563641730152778</v>
      </c>
      <c r="S24" s="333" t="n">
        <v>25.9599799650646013</v>
      </c>
      <c r="T24" s="294" t="n">
        <v>0.144128832799380513</v>
      </c>
      <c r="U24" s="294" t="n">
        <v>0.0484174049554159325</v>
      </c>
      <c r="V24" s="294" t="n">
        <v>0.0388438759405994105</v>
      </c>
      <c r="W24" s="294" t="n">
        <v>0.41674829695807496</v>
      </c>
      <c r="X24" s="294" t="n">
        <v>0.0958887565862753988</v>
      </c>
      <c r="Y24" s="294" t="n">
        <v>0.352527185779577534</v>
      </c>
      <c r="Z24" s="294" t="n">
        <v>0.352527185779577534</v>
      </c>
    </row>
    <row r="25" spans="1:26">
      <c r="A25" t="s">
        <v>473</v>
      </c>
      <c r="B25" t="n">
        <v>459</v>
      </c>
      <c r="C25" s="294" t="n">
        <v>0.322843519999999984</v>
      </c>
      <c r="D25" s="294" t="n">
        <v>0.261704136355979822</v>
      </c>
      <c r="E25" s="294" t="n">
        <v>0.115974519851074875</v>
      </c>
      <c r="F25" s="294" t="n">
        <v>0.206643950567974866</v>
      </c>
      <c r="G25" s="333" t="n">
        <v>1.35653091713749796</v>
      </c>
      <c r="H25" s="333" t="n">
        <v>1.43974172292191449</v>
      </c>
      <c r="I25" s="294" t="n">
        <v>0.0972388795244332726</v>
      </c>
      <c r="J25" s="294" t="n">
        <v>0.947806272116760873</v>
      </c>
      <c r="K25" s="294" t="n">
        <v>0.0816000000000000014</v>
      </c>
      <c r="L25" s="294" t="n">
        <v>0.136686774731870186</v>
      </c>
      <c r="M25" s="294" t="n">
        <v>0.0924243777254692489</v>
      </c>
      <c r="N25" s="333" t="n">
        <v>0.4489785181928311</v>
      </c>
      <c r="O25" s="333" t="n">
        <v>7.69787209234924941</v>
      </c>
      <c r="P25" s="333" t="n">
        <v>13.0515471385239064</v>
      </c>
      <c r="Q25" s="333" t="n">
        <v>24.2189718532239482</v>
      </c>
      <c r="R25" s="333" t="n">
        <v>6.20060905369741722</v>
      </c>
      <c r="S25" s="333" t="n">
        <v>69.610534981048886</v>
      </c>
      <c r="T25" s="294" t="n">
        <v>0.148499261359364798</v>
      </c>
      <c r="U25" s="294" t="n">
        <v>0.0393864588517174816</v>
      </c>
      <c r="V25" s="294" t="n">
        <v>0.00990025898999391352</v>
      </c>
      <c r="W25" s="294" t="n">
        <v>0.098279408386796181</v>
      </c>
      <c r="X25" s="294" t="n">
        <v>0.134459689719268671</v>
      </c>
      <c r="Y25" s="294" t="n">
        <v>0.602551491818882745</v>
      </c>
      <c r="Z25" s="294" t="n">
        <v>0.602551491818882745</v>
      </c>
    </row>
    <row r="26" spans="1:26">
      <c r="A26" t="s">
        <v>474</v>
      </c>
      <c r="B26" t="n">
        <v>185</v>
      </c>
      <c r="C26" s="294" t="n">
        <v>0.280772549019607851</v>
      </c>
      <c r="D26" s="294" t="n">
        <v>0.252145231307614459</v>
      </c>
      <c r="E26" s="294" t="n">
        <v>0.176832075065848571</v>
      </c>
      <c r="F26" s="294" t="n">
        <v>0.194045502233230476</v>
      </c>
      <c r="G26" s="333" t="n">
        <v>1.12956864008125413</v>
      </c>
      <c r="H26" s="333" t="n">
        <v>1.20933519463087369</v>
      </c>
      <c r="I26" s="294" t="n">
        <v>0.0855342278872483774</v>
      </c>
      <c r="J26" s="294" t="n">
        <v>0.857041217290376878</v>
      </c>
      <c r="K26" s="294" t="n">
        <v>0.0690999999999999837</v>
      </c>
      <c r="L26" s="294" t="n">
        <v>0.127623152040578836</v>
      </c>
      <c r="M26" s="294" t="n">
        <v>0.0813203375694835806</v>
      </c>
      <c r="N26" s="333" t="n">
        <v>0.715479099998287182</v>
      </c>
      <c r="O26" s="333" t="n">
        <v>5.07918945068259475</v>
      </c>
      <c r="P26" s="333" t="n">
        <v>14.4487352744684738</v>
      </c>
      <c r="Q26" s="333" t="n">
        <v>20.7312479623456483</v>
      </c>
      <c r="R26" s="333" t="n">
        <v>4.84535118032098655</v>
      </c>
      <c r="S26" s="333" t="n">
        <v>366.68512118025086</v>
      </c>
      <c r="T26" s="294" t="n">
        <v>0.225827620965090059</v>
      </c>
      <c r="U26" s="294" t="n">
        <v>0.0434359787480743353</v>
      </c>
      <c r="V26" s="294" t="n">
        <v>0.162715874882490645</v>
      </c>
      <c r="W26" s="294" t="n">
        <v>0.814883215354833368</v>
      </c>
      <c r="X26" s="294" t="n">
        <v>0.14387077731348052</v>
      </c>
      <c r="Y26" s="294" t="n">
        <v>0.835431631740109104</v>
      </c>
      <c r="Z26" s="294" t="n">
        <v>0.835431631740109104</v>
      </c>
    </row>
    <row r="27" spans="1:26">
      <c r="A27" t="s">
        <v>475</v>
      </c>
      <c r="B27" t="n">
        <v>34</v>
      </c>
      <c r="C27" s="294" t="n">
        <v>-0.0242483333333333384</v>
      </c>
      <c r="D27" s="294" t="n">
        <v>0.082570942793648765</v>
      </c>
      <c r="E27" s="294" t="n">
        <v>0.114670076858631265</v>
      </c>
      <c r="F27" s="294" t="n">
        <v>0.267481506914805767</v>
      </c>
      <c r="G27" s="333" t="n">
        <v>0.958161652136476683</v>
      </c>
      <c r="H27" s="333" t="n">
        <v>1.15328699999999995</v>
      </c>
      <c r="I27" s="294" t="n">
        <v>0.0826869796000000079</v>
      </c>
      <c r="J27" s="294" t="n">
        <v>0.535894443250585439</v>
      </c>
      <c r="K27" s="294" t="n">
        <v>0.0391000000000000014</v>
      </c>
      <c r="L27" s="294" t="n">
        <v>0.279678314564405284</v>
      </c>
      <c r="M27" s="294" t="n">
        <v>0.0678721453046464784</v>
      </c>
      <c r="N27" s="333" t="n">
        <v>1.51206632310180993</v>
      </c>
      <c r="O27" s="333" t="n">
        <v>1.86605836863637187</v>
      </c>
      <c r="P27" s="333" t="n">
        <v>10.0485102619277686</v>
      </c>
      <c r="Q27" s="333" t="n">
        <v>21.5812707486765056</v>
      </c>
      <c r="R27" s="333" t="n">
        <v>2.32990647613840007</v>
      </c>
      <c r="S27" s="333" t="n">
        <v>32.3476301179909527</v>
      </c>
      <c r="T27" s="294" t="n">
        <v>0.105597642076565923</v>
      </c>
      <c r="U27" s="294" t="n">
        <v>0.044001800940754574</v>
      </c>
      <c r="V27" s="294" t="n">
        <v>0.0328173156616962158</v>
      </c>
      <c r="W27" s="294" t="n">
        <v>0.628399827707703551</v>
      </c>
      <c r="X27" s="294" t="n">
        <v>0.025961148133694123</v>
      </c>
      <c r="Y27" s="294" t="n">
        <v>0.296852296289040307</v>
      </c>
      <c r="Z27" s="294" t="n">
        <v>0.296852296289040307</v>
      </c>
    </row>
    <row r="28" spans="1:26">
      <c r="A28" t="s">
        <v>476</v>
      </c>
      <c r="B28" t="n">
        <v>118</v>
      </c>
      <c r="C28" s="294" t="n">
        <v>-0.0213681632653061282</v>
      </c>
      <c r="D28" s="294" t="n">
        <v>0.119950388337153369</v>
      </c>
      <c r="E28" s="294" t="n">
        <v>0.218836581455250689</v>
      </c>
      <c r="F28" s="294" t="n">
        <v>0.277985851524595073</v>
      </c>
      <c r="G28" s="333" t="n">
        <v>1.02446957123588134</v>
      </c>
      <c r="H28" s="333" t="n">
        <v>1.08484792307692345</v>
      </c>
      <c r="I28" s="294" t="n">
        <v>0.079210274492307704</v>
      </c>
      <c r="J28" s="294" t="n">
        <v>0.661652572857722632</v>
      </c>
      <c r="K28" s="294" t="n">
        <v>0.0466000000000000014</v>
      </c>
      <c r="L28" s="294" t="n">
        <v>0.136833954357222787</v>
      </c>
      <c r="M28" s="294" t="n">
        <v>0.0732177307353196216</v>
      </c>
      <c r="N28" s="333" t="n">
        <v>1.92075290992366092</v>
      </c>
      <c r="O28" s="333" t="n">
        <v>2.47846934392594243</v>
      </c>
      <c r="P28" s="333" t="n">
        <v>13.9773994450192607</v>
      </c>
      <c r="Q28" s="333" t="n">
        <v>19.8907261397272812</v>
      </c>
      <c r="R28" s="333" t="n">
        <v>4.30530590770446153</v>
      </c>
      <c r="S28" s="333" t="n">
        <v>23.6520560028253612</v>
      </c>
      <c r="T28" s="294" t="n">
        <v>0.199019908883245442</v>
      </c>
      <c r="U28" s="294" t="n">
        <v>0.0443128594819900812</v>
      </c>
      <c r="V28" s="294" t="n">
        <v>0.0858240362881741348</v>
      </c>
      <c r="W28" s="294" t="n">
        <v>1.02314209884879448</v>
      </c>
      <c r="X28" s="294" t="n">
        <v>0.135420217837555845</v>
      </c>
      <c r="Y28" s="294" t="n">
        <v>0.575870126237056912</v>
      </c>
      <c r="Z28" s="294" t="n">
        <v>0.575870126237056912</v>
      </c>
    </row>
    <row r="29" spans="1:26">
      <c r="A29" t="s">
        <v>477</v>
      </c>
      <c r="B29" t="n">
        <v>24</v>
      </c>
      <c r="C29" s="294" t="n">
        <v>-0.00488000000000000611</v>
      </c>
      <c r="D29" s="294" t="n">
        <v>-0.0417455449519372745</v>
      </c>
      <c r="E29" s="294" t="n">
        <v>-0.0554111969871659937</v>
      </c>
      <c r="F29" s="294" t="n">
        <v>0.322787979966610949</v>
      </c>
      <c r="G29" s="333" t="n">
        <v>1.07915438736768921</v>
      </c>
      <c r="H29" s="333" t="n">
        <v>1.09238476190476197</v>
      </c>
      <c r="I29" s="294" t="n">
        <v>0.0795931459047619061</v>
      </c>
      <c r="J29" s="294" t="n">
        <v>0.70222244335200168</v>
      </c>
      <c r="K29" s="294" t="n">
        <v>0.0466000000000000014</v>
      </c>
      <c r="L29" s="294" t="n">
        <v>0.0649053260377285302</v>
      </c>
      <c r="M29" s="294" t="n">
        <v>0.0767258138463970418</v>
      </c>
      <c r="N29" s="333" t="n">
        <v>1.39443075988274057</v>
      </c>
      <c r="O29" s="333" t="n">
        <v>2.52017059534072052</v>
      </c>
      <c r="P29" s="333" t="n">
        <v>17.1725284165248269</v>
      </c>
      <c r="Q29" s="333" t="s">
        <v>457</v>
      </c>
      <c r="R29" s="333" t="n">
        <v>7.91076488315979809</v>
      </c>
      <c r="S29" s="333" t="n">
        <v>79.9375592640168975</v>
      </c>
      <c r="T29" s="294" t="n">
        <v>0.19755460059814439</v>
      </c>
      <c r="U29" s="294" t="n">
        <v>0.0314223584526432109</v>
      </c>
      <c r="V29" s="294" t="n">
        <v>-0.00125329918911357274</v>
      </c>
      <c r="W29" s="294" t="s">
        <v>457</v>
      </c>
      <c r="X29" s="294" t="n">
        <v>-0.29603470433374973</v>
      </c>
      <c r="Y29" s="294" t="n">
        <v>0.00177807486631016083</v>
      </c>
      <c r="Z29" s="294" t="n">
        <v>0.00177807486631020861</v>
      </c>
    </row>
    <row r="30" spans="1:26">
      <c r="A30" t="s">
        <v>478</v>
      </c>
      <c r="B30" t="n">
        <v>167</v>
      </c>
      <c r="C30" s="294" t="n">
        <v>0.0684285585585585565</v>
      </c>
      <c r="D30" s="294" t="n">
        <v>0.0980980798974282209</v>
      </c>
      <c r="E30" s="294" t="n">
        <v>0.135525385332221315</v>
      </c>
      <c r="F30" s="294" t="n">
        <v>0.25985153515285897</v>
      </c>
      <c r="G30" s="333" t="n">
        <v>0.91332212369413277</v>
      </c>
      <c r="H30" s="333" t="n">
        <v>0.937900623376622633</v>
      </c>
      <c r="I30" s="294" t="n">
        <v>0.0717453516675324465</v>
      </c>
      <c r="J30" s="294" t="n">
        <v>0.60247419004277134</v>
      </c>
      <c r="K30" s="294" t="n">
        <v>0.0391000000000000014</v>
      </c>
      <c r="L30" s="294" t="n">
        <v>0.130218215726319064</v>
      </c>
      <c r="M30" s="294" t="n">
        <v>0.0662723644852523641</v>
      </c>
      <c r="N30" s="333" t="n">
        <v>1.50266399922757321</v>
      </c>
      <c r="O30" s="333" t="n">
        <v>2.11883194108769013</v>
      </c>
      <c r="P30" s="333" t="n">
        <v>13.1632952881891079</v>
      </c>
      <c r="Q30" s="333" t="n">
        <v>21.9320100992466571</v>
      </c>
      <c r="R30" s="333" t="n">
        <v>3.04408887908921599</v>
      </c>
      <c r="S30" s="333" t="n">
        <v>182.299775130697299</v>
      </c>
      <c r="T30" s="294" t="n">
        <v>0.185762929721521619</v>
      </c>
      <c r="U30" s="294" t="n">
        <v>0.0469788001183340054</v>
      </c>
      <c r="V30" s="294" t="n">
        <v>0.0772419519506629815</v>
      </c>
      <c r="W30" s="294" t="n">
        <v>1.22016454875291225</v>
      </c>
      <c r="X30" s="294" t="n">
        <v>0.11298554631347244</v>
      </c>
      <c r="Y30" s="294" t="n">
        <v>0.202248523929674873</v>
      </c>
      <c r="Z30" s="294" t="n">
        <v>0.202248523929674917</v>
      </c>
    </row>
    <row r="31" spans="1:26">
      <c r="A31" t="s">
        <v>479</v>
      </c>
      <c r="B31" t="n">
        <v>49</v>
      </c>
      <c r="C31" s="294" t="n">
        <v>0.0964343333333333064</v>
      </c>
      <c r="D31" s="294" t="n">
        <v>0.042794154357580112</v>
      </c>
      <c r="E31" s="294" t="n">
        <v>0.184348691297541816</v>
      </c>
      <c r="F31" s="294" t="n">
        <v>0.305552083938847874</v>
      </c>
      <c r="G31" s="333" t="n">
        <v>1.1280526539619411</v>
      </c>
      <c r="H31" s="333" t="n">
        <v>1.27031697777777786</v>
      </c>
      <c r="I31" s="294" t="n">
        <v>0.0886321024711110894</v>
      </c>
      <c r="J31" s="294" t="n">
        <v>0.530199134554601859</v>
      </c>
      <c r="K31" s="294" t="n">
        <v>0.0391000000000000014</v>
      </c>
      <c r="L31" s="294" t="n">
        <v>0.229083195692274444</v>
      </c>
      <c r="M31" s="294" t="n">
        <v>0.0751354134392954709</v>
      </c>
      <c r="N31" s="333" t="n">
        <v>4.97404454897058024</v>
      </c>
      <c r="O31" s="333" t="n">
        <v>0.694800089372750485</v>
      </c>
      <c r="P31" s="333" t="n">
        <v>9.92081907261769658</v>
      </c>
      <c r="Q31" s="333" t="n">
        <v>16.1133596983156302</v>
      </c>
      <c r="R31" s="333" t="n">
        <v>2.07737995213784865</v>
      </c>
      <c r="S31" s="333" t="n">
        <v>33.8399809244132683</v>
      </c>
      <c r="T31" s="294" t="n">
        <v>0.150654267644081541</v>
      </c>
      <c r="U31" s="294" t="n">
        <v>0.0161763266391751426</v>
      </c>
      <c r="V31" s="294" t="n">
        <v>0.0130826727706398804</v>
      </c>
      <c r="W31" s="294" t="n">
        <v>0.610523486124944359</v>
      </c>
      <c r="X31" s="294" t="n">
        <v>0.0770807406282941532</v>
      </c>
      <c r="Y31" s="294" t="n">
        <v>0.168944388550931528</v>
      </c>
      <c r="Z31" s="294" t="n">
        <v>0.168944388550931528</v>
      </c>
    </row>
    <row r="32" spans="1:26">
      <c r="A32" t="s">
        <v>388</v>
      </c>
      <c r="B32" t="n">
        <v>90</v>
      </c>
      <c r="C32" s="294" t="n">
        <v>0.0333486363636363592</v>
      </c>
      <c r="D32" s="294" t="n">
        <v>0.207212506832155174</v>
      </c>
      <c r="E32" s="294" t="n">
        <v>0.311081604483993868</v>
      </c>
      <c r="F32" s="294" t="n">
        <v>0.292141089611427098</v>
      </c>
      <c r="G32" s="333" t="n">
        <v>0.95716683157974245</v>
      </c>
      <c r="H32" s="333" t="n">
        <v>1.15177241379310313</v>
      </c>
      <c r="I32" s="294" t="n">
        <v>0.0826100386206896253</v>
      </c>
      <c r="J32" s="294" t="n">
        <v>0.549369339348144781</v>
      </c>
      <c r="K32" s="294" t="n">
        <v>0.0391000000000000014</v>
      </c>
      <c r="L32" s="294" t="n">
        <v>0.252280949371365182</v>
      </c>
      <c r="M32" s="294" t="n">
        <v>0.0692658803413764179</v>
      </c>
      <c r="N32" s="333" t="n">
        <v>1.58775287713336777</v>
      </c>
      <c r="O32" s="333" t="n">
        <v>2.87388583268712097</v>
      </c>
      <c r="P32" s="333" t="n">
        <v>10.5843468468526325</v>
      </c>
      <c r="Q32" s="333" t="n">
        <v>13.8079288326093472</v>
      </c>
      <c r="R32" s="333" t="n">
        <v>3.05062313447702982</v>
      </c>
      <c r="S32" s="333" t="n">
        <v>70.0656089624964693</v>
      </c>
      <c r="T32" s="294" t="n">
        <v>0.105865156272312322</v>
      </c>
      <c r="U32" s="294" t="n">
        <v>0.0434332902462308823</v>
      </c>
      <c r="V32" s="294" t="n">
        <v>0.0427308041137036732</v>
      </c>
      <c r="W32" s="294" t="n">
        <v>0.851774551198697694</v>
      </c>
      <c r="X32" s="294" t="n">
        <v>0.189852786403125613</v>
      </c>
      <c r="Y32" s="294" t="n">
        <v>0.298101246899854786</v>
      </c>
      <c r="Z32" s="294" t="n">
        <v>0.298101246899854786</v>
      </c>
    </row>
    <row r="33" spans="1:26">
      <c r="A33" t="s">
        <v>480</v>
      </c>
      <c r="B33" t="n">
        <v>87</v>
      </c>
      <c r="C33" s="294" t="n">
        <v>0.159196129032257989</v>
      </c>
      <c r="D33" s="294" t="n">
        <v>0.125386926200468984</v>
      </c>
      <c r="E33" s="294" t="n">
        <v>0.212816666567784507</v>
      </c>
      <c r="F33" s="294" t="n">
        <v>0.357080206047932602</v>
      </c>
      <c r="G33" s="333" t="n">
        <v>0.699774818425929723</v>
      </c>
      <c r="H33" s="333" t="n">
        <v>0.876997222222222206</v>
      </c>
      <c r="I33" s="294" t="n">
        <v>0.0686514588888888966</v>
      </c>
      <c r="J33" s="294" t="n">
        <v>0.65736792637714565</v>
      </c>
      <c r="K33" s="294" t="n">
        <v>0.0466000000000000014</v>
      </c>
      <c r="L33" s="294" t="n">
        <v>0.258538469053821451</v>
      </c>
      <c r="M33" s="294" t="n">
        <v>0.0600588142294543292</v>
      </c>
      <c r="N33" s="333" t="n">
        <v>1.77632367184308286</v>
      </c>
      <c r="O33" s="333" t="n">
        <v>2.62525368506136436</v>
      </c>
      <c r="P33" s="333" t="n">
        <v>11.8332286451983819</v>
      </c>
      <c r="Q33" s="333" t="n">
        <v>20.7989086891369226</v>
      </c>
      <c r="R33" s="333" t="n">
        <v>4.09847227926831348</v>
      </c>
      <c r="S33" s="333" t="n">
        <v>132.150993155236989</v>
      </c>
      <c r="T33" s="294" t="n">
        <v>0.101281946478085794</v>
      </c>
      <c r="U33" s="294" t="n">
        <v>0.0708200222026193504</v>
      </c>
      <c r="V33" s="294" t="n">
        <v>0.0233583511274114386</v>
      </c>
      <c r="W33" s="294" t="n">
        <v>0.284879479494404286</v>
      </c>
      <c r="X33" s="294" t="n">
        <v>0.0946984449483161583</v>
      </c>
      <c r="Y33" s="294" t="n">
        <v>0.711453949732919533</v>
      </c>
      <c r="Z33" s="294" t="n">
        <v>0.711453949732919533</v>
      </c>
    </row>
    <row r="34" spans="1:26">
      <c r="A34" t="s">
        <v>481</v>
      </c>
      <c r="B34" t="n">
        <v>34</v>
      </c>
      <c r="C34" s="294" t="n">
        <v>0.130771764705882365</v>
      </c>
      <c r="D34" s="294" t="n">
        <v>0.045010380317422003</v>
      </c>
      <c r="E34" s="294" t="n">
        <v>0.071386551883665037</v>
      </c>
      <c r="F34" s="294" t="n">
        <v>0.276851777944885313</v>
      </c>
      <c r="G34" s="333" t="n">
        <v>0.557370821554230655</v>
      </c>
      <c r="H34" s="333" t="n">
        <v>0.744910133333333224</v>
      </c>
      <c r="I34" s="294" t="n">
        <v>0.0619414347733333237</v>
      </c>
      <c r="J34" s="294" t="n">
        <v>0.425679898824838077</v>
      </c>
      <c r="K34" s="294" t="n">
        <v>0.0391000000000000014</v>
      </c>
      <c r="L34" s="294" t="n">
        <v>0.357060025927496794</v>
      </c>
      <c r="M34" s="294" t="n">
        <v>0.050435020197642082</v>
      </c>
      <c r="N34" s="333" t="n">
        <v>1.71794159267452322</v>
      </c>
      <c r="O34" s="333" t="n">
        <v>1.01990347438342566</v>
      </c>
      <c r="P34" s="333" t="n">
        <v>13.8182998205088072</v>
      </c>
      <c r="Q34" s="333" t="n">
        <v>22.6015453329773095</v>
      </c>
      <c r="R34" s="333" t="n">
        <v>2.42086348497080017</v>
      </c>
      <c r="S34" s="333" t="n">
        <v>23.2768071764159039</v>
      </c>
      <c r="T34" s="294" t="n">
        <v>0.10285890528715611</v>
      </c>
      <c r="U34" s="294" t="n">
        <v>0.0332447305176639629</v>
      </c>
      <c r="V34" s="294" t="n">
        <v>0.0237773335729804547</v>
      </c>
      <c r="W34" s="294" t="n">
        <v>1.06962743487735512</v>
      </c>
      <c r="X34" s="294" t="n">
        <v>0.120950801571876321</v>
      </c>
      <c r="Y34" s="294" t="n">
        <v>0.407519857306875188</v>
      </c>
      <c r="Z34" s="294" t="n">
        <v>0.407519857306875188</v>
      </c>
    </row>
    <row r="35" spans="1:26">
      <c r="A35" t="s">
        <v>482</v>
      </c>
      <c r="B35" t="n">
        <v>264</v>
      </c>
      <c r="C35" s="294" t="n">
        <v>0.103520060975609707</v>
      </c>
      <c r="D35" s="294" t="n">
        <v>0.0738678734757217903</v>
      </c>
      <c r="E35" s="294" t="n">
        <v>0.0020540100826457075</v>
      </c>
      <c r="F35" s="294" t="n">
        <v>0.331055957424283998</v>
      </c>
      <c r="G35" s="333" t="n">
        <v>0.0702890803257562169</v>
      </c>
      <c r="H35" s="333" t="n">
        <v>0.606871768595041594</v>
      </c>
      <c r="I35" s="294" t="n">
        <v>0.054929085844628105</v>
      </c>
      <c r="J35" s="294" t="n">
        <v>0.366333519326692514</v>
      </c>
      <c r="K35" s="294" t="n">
        <v>0.0360999999999999988</v>
      </c>
      <c r="L35" s="294" t="n">
        <v>0.911675415409368028</v>
      </c>
      <c r="M35" s="294" t="n">
        <v>0.0298643153863413691</v>
      </c>
      <c r="N35" s="333" t="n">
        <v>0.0345898179703818487</v>
      </c>
      <c r="O35" s="333" t="n">
        <v>31.1805509920038411</v>
      </c>
      <c r="P35" s="333" t="s">
        <v>457</v>
      </c>
      <c r="Q35" s="333" t="s">
        <v>457</v>
      </c>
      <c r="R35" s="333" t="n">
        <v>2.20450080062805709</v>
      </c>
      <c r="S35" s="333" t="n">
        <v>31.9919344241761969</v>
      </c>
      <c r="T35" s="294" t="s">
        <v>457</v>
      </c>
      <c r="U35" s="294" t="n">
        <v>0.0711813578428357197</v>
      </c>
      <c r="V35" s="294" t="n">
        <v>0.116919855409020124</v>
      </c>
      <c r="W35" s="294" t="n">
        <v>2.16312716402032112</v>
      </c>
      <c r="X35" s="294" t="n">
        <v>-0.00286911883753922492</v>
      </c>
      <c r="Y35" s="294" t="n">
        <v>0.152949599862745256</v>
      </c>
      <c r="Z35" s="294" t="n">
        <v>0.152949599862745256</v>
      </c>
    </row>
    <row r="36" spans="1:26">
      <c r="A36" t="s">
        <v>483</v>
      </c>
      <c r="B36" t="n">
        <v>87</v>
      </c>
      <c r="C36" s="294" t="n">
        <v>0.0411664285714285683</v>
      </c>
      <c r="D36" s="294" t="n">
        <v>0.142113995549474907</v>
      </c>
      <c r="E36" s="294" t="n">
        <v>0.197102223884028014</v>
      </c>
      <c r="F36" s="294" t="n">
        <v>0.28578164133668249</v>
      </c>
      <c r="G36" s="333" t="n">
        <v>0.556319017202766464</v>
      </c>
      <c r="H36" s="333" t="n">
        <v>0.675765684210526274</v>
      </c>
      <c r="I36" s="294" t="n">
        <v>0.0584288967578947371</v>
      </c>
      <c r="J36" s="294" t="n">
        <v>0.411842929642869748</v>
      </c>
      <c r="K36" s="294" t="n">
        <v>0.0391000000000000014</v>
      </c>
      <c r="L36" s="294" t="n">
        <v>0.235574408452540007</v>
      </c>
      <c r="M36" s="294" t="n">
        <v>0.0516648730891948293</v>
      </c>
      <c r="N36" s="333" t="n">
        <v>1.63418330418686875</v>
      </c>
      <c r="O36" s="333" t="n">
        <v>2.41652749155964175</v>
      </c>
      <c r="P36" s="333" t="n">
        <v>13.3792133226932037</v>
      </c>
      <c r="Q36" s="333" t="n">
        <v>16.9157029487690309</v>
      </c>
      <c r="R36" s="333" t="n">
        <v>2.87786192851076414</v>
      </c>
      <c r="S36" s="333" t="n">
        <v>100.847081160843302</v>
      </c>
      <c r="T36" s="294" t="n">
        <v>0.0731804211117025893</v>
      </c>
      <c r="U36" s="294" t="n">
        <v>0.0367916254456552005</v>
      </c>
      <c r="V36" s="294" t="n">
        <v>0.0699870145160568669</v>
      </c>
      <c r="W36" s="294" t="n">
        <v>0.686499825403420871</v>
      </c>
      <c r="X36" s="294" t="n">
        <v>0.11540232268495354</v>
      </c>
      <c r="Y36" s="294" t="n">
        <v>0.588339308908981007</v>
      </c>
      <c r="Z36" s="294" t="n">
        <v>0.588339308908981007</v>
      </c>
    </row>
    <row r="37" spans="1:26">
      <c r="A37" t="s">
        <v>484</v>
      </c>
      <c r="B37" t="n">
        <v>15</v>
      </c>
      <c r="C37" s="294" t="n">
        <v>0.0886500000000000021</v>
      </c>
      <c r="D37" s="294" t="n">
        <v>0.0297792071035560646</v>
      </c>
      <c r="E37" s="294" t="n">
        <v>0.199633199171759674</v>
      </c>
      <c r="F37" s="294" t="n">
        <v>0.337152793950967977</v>
      </c>
      <c r="G37" s="333" t="n">
        <v>1.41475851606082426</v>
      </c>
      <c r="H37" s="333" t="n">
        <v>1.78561292307692288</v>
      </c>
      <c r="I37" s="294" t="n">
        <v>0.114809136492307706</v>
      </c>
      <c r="J37" s="294" t="n">
        <v>0.554192874243974121</v>
      </c>
      <c r="K37" s="294" t="n">
        <v>0.0391000000000000014</v>
      </c>
      <c r="L37" s="294" t="n">
        <v>0.272510591738981889</v>
      </c>
      <c r="M37" s="294" t="n">
        <v>0.0916203555138629788</v>
      </c>
      <c r="N37" s="333" t="n">
        <v>7.61014470607462279</v>
      </c>
      <c r="O37" s="333" t="n">
        <v>0.529292300346701694</v>
      </c>
      <c r="P37" s="333" t="n">
        <v>11.6250924499907171</v>
      </c>
      <c r="Q37" s="333" t="n">
        <v>17.7572364877902196</v>
      </c>
      <c r="R37" s="333" t="n">
        <v>4.99590010982857624</v>
      </c>
      <c r="S37" s="333" t="n">
        <v>25.8765443799782027</v>
      </c>
      <c r="T37" s="294" t="n">
        <v>0.064230469455613477</v>
      </c>
      <c r="U37" s="294" t="n">
        <v>0.0110116929036401667</v>
      </c>
      <c r="V37" s="294" t="n">
        <v>0.00428730322269871866</v>
      </c>
      <c r="W37" s="294" t="n">
        <v>0.352073896776924844</v>
      </c>
      <c r="X37" s="294" t="n">
        <v>0.166444721301811409</v>
      </c>
      <c r="Y37" s="294" t="n">
        <v>0.462207975531557747</v>
      </c>
      <c r="Z37" s="294" t="n">
        <v>0.462207975531557747</v>
      </c>
    </row>
    <row r="38" spans="1:26">
      <c r="A38" t="s">
        <v>485</v>
      </c>
      <c r="B38" t="n">
        <v>31</v>
      </c>
      <c r="C38" s="294" t="n">
        <v>0.0995479999999999876</v>
      </c>
      <c r="D38" s="294" t="n">
        <v>0.0947989025593961543</v>
      </c>
      <c r="E38" s="294" t="n">
        <v>0.175608664217155059</v>
      </c>
      <c r="F38" s="294" t="n">
        <v>0.233231412516460423</v>
      </c>
      <c r="G38" s="333" t="n">
        <v>0.673686569689767545</v>
      </c>
      <c r="H38" s="333" t="n">
        <v>0.790092857142856886</v>
      </c>
      <c r="I38" s="294" t="n">
        <v>0.0642367171428571471</v>
      </c>
      <c r="J38" s="294" t="n">
        <v>0.512585549015998954</v>
      </c>
      <c r="K38" s="294" t="n">
        <v>0.0391000000000000014</v>
      </c>
      <c r="L38" s="294" t="n">
        <v>0.217916843680478944</v>
      </c>
      <c r="M38" s="294" t="n">
        <v>0.0567140714214990993</v>
      </c>
      <c r="N38" s="333" t="n">
        <v>2.11660707313606533</v>
      </c>
      <c r="O38" s="333" t="n">
        <v>1.4095204518464266</v>
      </c>
      <c r="P38" s="333" t="n">
        <v>10.3766790459604987</v>
      </c>
      <c r="Q38" s="333" t="n">
        <v>14.8941587153390014</v>
      </c>
      <c r="R38" s="333" t="n">
        <v>2.9801264430051976</v>
      </c>
      <c r="S38" s="333" t="n">
        <v>90.857391282428992</v>
      </c>
      <c r="T38" s="294" t="n">
        <v>0.128708400645507037</v>
      </c>
      <c r="U38" s="294" t="n">
        <v>0.042158710006431761</v>
      </c>
      <c r="V38" s="294" t="n">
        <v>0.0364399221148340446</v>
      </c>
      <c r="W38" s="294" t="n">
        <v>0.598962246580056146</v>
      </c>
      <c r="X38" s="294" t="n">
        <v>0.176198195587486399</v>
      </c>
      <c r="Y38" s="294" t="n">
        <v>0.232696946619297229</v>
      </c>
      <c r="Z38" s="294" t="n">
        <v>0.232696946619297229</v>
      </c>
    </row>
    <row r="39" spans="1:26">
      <c r="A39" t="s">
        <v>486</v>
      </c>
      <c r="B39" t="n">
        <v>22</v>
      </c>
      <c r="C39" s="294" t="n">
        <v>-0.0473500000000000032</v>
      </c>
      <c r="D39" s="294" t="n">
        <v>0.117305278077776109</v>
      </c>
      <c r="E39" s="294" t="n">
        <v>0.0193642123792205467</v>
      </c>
      <c r="F39" s="294" t="n">
        <v>0.180735483149835154</v>
      </c>
      <c r="G39" s="333" t="n">
        <v>0.7201596450679836</v>
      </c>
      <c r="H39" s="333" t="n">
        <v>1.20161653333333351</v>
      </c>
      <c r="I39" s="294" t="n">
        <v>0.0851421198933333301</v>
      </c>
      <c r="J39" s="294" t="n">
        <v>0.602880745829434606</v>
      </c>
      <c r="K39" s="294" t="n">
        <v>0.0391000000000000014</v>
      </c>
      <c r="L39" s="294" t="n">
        <v>0.49552829148536448</v>
      </c>
      <c r="M39" s="294" t="n">
        <v>0.0576769093989268811</v>
      </c>
      <c r="N39" s="333" t="n">
        <v>0.169166450129535129</v>
      </c>
      <c r="O39" s="333" t="n">
        <v>8.40154730972196795</v>
      </c>
      <c r="P39" s="333" t="n">
        <v>15.1294891103447675</v>
      </c>
      <c r="Q39" s="333" t="n">
        <v>69.0910533421540975</v>
      </c>
      <c r="R39" s="333" t="n">
        <v>1.20793884869022916</v>
      </c>
      <c r="S39" s="333" t="n">
        <v>192.487590558022418</v>
      </c>
      <c r="T39" s="294" t="n">
        <v>0.0967193342178265425</v>
      </c>
      <c r="U39" s="294" t="n">
        <v>0.186749257657471386</v>
      </c>
      <c r="V39" s="294" t="n">
        <v>0.130729247434108187</v>
      </c>
      <c r="W39" s="294" t="n">
        <v>1.6079035201442089</v>
      </c>
      <c r="X39" s="294" t="n">
        <v>0.00655911368231292791</v>
      </c>
      <c r="Y39" s="294" t="n">
        <v>7.35686203624202495</v>
      </c>
      <c r="Z39" s="294" t="n">
        <v>7.35686203624202495</v>
      </c>
    </row>
    <row r="40" spans="1:26">
      <c r="A40" t="s">
        <v>487</v>
      </c>
      <c r="B40" t="n">
        <v>251</v>
      </c>
      <c r="C40" s="294" t="n">
        <v>0.10539388429752059</v>
      </c>
      <c r="D40" s="294" t="n">
        <v>0.159826835305557431</v>
      </c>
      <c r="E40" s="294" t="n">
        <v>0.162985020486337673</v>
      </c>
      <c r="F40" s="294" t="n">
        <v>0.158358055575967054</v>
      </c>
      <c r="G40" s="333" t="n">
        <v>0.88508346966591418</v>
      </c>
      <c r="H40" s="333" t="n">
        <v>0.941286738738739004</v>
      </c>
      <c r="I40" s="294" t="n">
        <v>0.0719173663279279118</v>
      </c>
      <c r="J40" s="294" t="n">
        <v>0.669207376779638796</v>
      </c>
      <c r="K40" s="294" t="n">
        <v>0.0466000000000000014</v>
      </c>
      <c r="L40" s="294" t="n">
        <v>0.145906105778802209</v>
      </c>
      <c r="M40" s="294" t="n">
        <v>0.0665915941114144783</v>
      </c>
      <c r="N40" s="333" t="n">
        <v>1.06887967579426313</v>
      </c>
      <c r="O40" s="333" t="n">
        <v>4.79258851864245639</v>
      </c>
      <c r="P40" s="333" t="n">
        <v>18.9654630634689205</v>
      </c>
      <c r="Q40" s="333" t="n">
        <v>30.3509647461134655</v>
      </c>
      <c r="R40" s="333" t="n">
        <v>4.0441064235604367</v>
      </c>
      <c r="S40" s="333" t="n">
        <v>91.7988847036709785</v>
      </c>
      <c r="T40" s="294" t="n">
        <v>0.229250028667444905</v>
      </c>
      <c r="U40" s="294" t="n">
        <v>0.0474943638728160522</v>
      </c>
      <c r="V40" s="294" t="n">
        <v>0.163099593794110032</v>
      </c>
      <c r="W40" s="294" t="n">
        <v>1.30589679867960728</v>
      </c>
      <c r="X40" s="294" t="n">
        <v>0.0950911545103743805</v>
      </c>
      <c r="Y40" s="294" t="n">
        <v>0.369147400203224008</v>
      </c>
      <c r="Z40" s="294" t="n">
        <v>0.369147400203224008</v>
      </c>
    </row>
    <row r="41" spans="1:26">
      <c r="A41" t="s">
        <v>488</v>
      </c>
      <c r="B41" t="n">
        <v>115</v>
      </c>
      <c r="C41" s="294" t="n">
        <v>0.165454285714285687</v>
      </c>
      <c r="D41" s="294" t="n">
        <v>0.0466983955159060127</v>
      </c>
      <c r="E41" s="294" t="n">
        <v>0.505396539751480045</v>
      </c>
      <c r="F41" s="294" t="n">
        <v>0.31920640925135304</v>
      </c>
      <c r="G41" s="333" t="n">
        <v>0.823820354753193307</v>
      </c>
      <c r="H41" s="333" t="n">
        <v>0.897538505050505009</v>
      </c>
      <c r="I41" s="294" t="n">
        <v>0.0696949560565656245</v>
      </c>
      <c r="J41" s="294" t="n">
        <v>0.5744250491934765</v>
      </c>
      <c r="K41" s="294" t="n">
        <v>0.0391000000000000014</v>
      </c>
      <c r="L41" s="294" t="n">
        <v>0.198893328994742884</v>
      </c>
      <c r="M41" s="294" t="n">
        <v>0.0617434083967407599</v>
      </c>
      <c r="N41" s="333" t="n">
        <v>12.5434509828867604</v>
      </c>
      <c r="O41" s="333" t="n">
        <v>0.624001875185784183</v>
      </c>
      <c r="P41" s="333" t="n">
        <v>10.7197570411371554</v>
      </c>
      <c r="Q41" s="333" t="n">
        <v>13.273015038407566</v>
      </c>
      <c r="R41" s="333" t="n">
        <v>3.19462190383777678</v>
      </c>
      <c r="S41" s="333" t="n">
        <v>41.1896890953304862</v>
      </c>
      <c r="T41" s="294" t="n">
        <v>-0.0615097629656792844</v>
      </c>
      <c r="U41" s="294" t="n">
        <v>0.00699790545709069178</v>
      </c>
      <c r="V41" s="294" t="n">
        <v>0.0145458089288054353</v>
      </c>
      <c r="W41" s="294" t="n">
        <v>0.559665928216591002</v>
      </c>
      <c r="X41" s="294" t="n">
        <v>0.174002560023260084</v>
      </c>
      <c r="Y41" s="294" t="n">
        <v>0.186367727516292838</v>
      </c>
      <c r="Z41" s="294" t="n">
        <v>0.186367727516292838</v>
      </c>
    </row>
    <row r="42" spans="1:26">
      <c r="A42" t="s">
        <v>489</v>
      </c>
      <c r="B42" t="n">
        <v>112</v>
      </c>
      <c r="C42" s="294" t="n">
        <v>0.0667841176470588049</v>
      </c>
      <c r="D42" s="294" t="n">
        <v>0.143397625777424764</v>
      </c>
      <c r="E42" s="294" t="n">
        <v>0.15732766653383587</v>
      </c>
      <c r="F42" s="294" t="n">
        <v>0.17547409577170658</v>
      </c>
      <c r="G42" s="333" t="n">
        <v>0.883708012421607769</v>
      </c>
      <c r="H42" s="333" t="n">
        <v>0.979156240000000011</v>
      </c>
      <c r="I42" s="294" t="n">
        <v>0.0738411369920000027</v>
      </c>
      <c r="J42" s="294" t="n">
        <v>0.586361224269773196</v>
      </c>
      <c r="K42" s="294" t="n">
        <v>0.0391000000000000014</v>
      </c>
      <c r="L42" s="294" t="n">
        <v>0.161741970029371673</v>
      </c>
      <c r="M42" s="294" t="n">
        <v>0.0667042504070980158</v>
      </c>
      <c r="N42" s="333" t="n">
        <v>1.16376800365364463</v>
      </c>
      <c r="O42" s="333" t="n">
        <v>4.94686439861496918</v>
      </c>
      <c r="P42" s="333" t="n">
        <v>20.5110446758629372</v>
      </c>
      <c r="Q42" s="333" t="n">
        <v>35.1535414252461891</v>
      </c>
      <c r="R42" s="333" t="n">
        <v>4.04864216345311956</v>
      </c>
      <c r="S42" s="333" t="n">
        <v>69.0262884437480437</v>
      </c>
      <c r="T42" s="294" t="n">
        <v>0.231309366700808283</v>
      </c>
      <c r="U42" s="294" t="n">
        <v>0.0422745083555840218</v>
      </c>
      <c r="V42" s="294" t="n">
        <v>0.120938586034538087</v>
      </c>
      <c r="W42" s="294" t="n">
        <v>1.21665914736452296</v>
      </c>
      <c r="X42" s="294" t="n">
        <v>0.107957819417284773</v>
      </c>
      <c r="Y42" s="294" t="n">
        <v>0.0931857895748078491</v>
      </c>
      <c r="Z42" s="294" t="n">
        <v>0.0931857895748078491</v>
      </c>
    </row>
    <row r="43" spans="1:26">
      <c r="A43" t="s">
        <v>490</v>
      </c>
      <c r="B43" t="n">
        <v>32</v>
      </c>
      <c r="C43" s="294" t="n">
        <v>0.229085714285714381</v>
      </c>
      <c r="D43" s="294" t="n">
        <v>0.101068913001726535</v>
      </c>
      <c r="E43" s="294" t="n">
        <v>0.0930819647895271451</v>
      </c>
      <c r="F43" s="294" t="n">
        <v>0.336194968105453285</v>
      </c>
      <c r="G43" s="333" t="n">
        <v>0.894828162669645089</v>
      </c>
      <c r="H43" s="333" t="n">
        <v>1.10836645161290326</v>
      </c>
      <c r="I43" s="294" t="n">
        <v>0.0804050157419354861</v>
      </c>
      <c r="J43" s="294" t="n">
        <v>0.446996540282183386</v>
      </c>
      <c r="K43" s="294" t="n">
        <v>0.0391000000000000014</v>
      </c>
      <c r="L43" s="294" t="n">
        <v>0.283928699296017939</v>
      </c>
      <c r="M43" s="294" t="n">
        <v>0.0660129494337323663</v>
      </c>
      <c r="N43" s="333" t="n">
        <v>1.20957049918928261</v>
      </c>
      <c r="O43" s="333" t="n">
        <v>1.48877469162884353</v>
      </c>
      <c r="P43" s="333" t="n">
        <v>13.7815558272552661</v>
      </c>
      <c r="Q43" s="333" t="n">
        <v>14.7200937288024924</v>
      </c>
      <c r="R43" s="333" t="n">
        <v>2.06557728013832831</v>
      </c>
      <c r="S43" s="333" t="n">
        <v>24.3723110039718769</v>
      </c>
      <c r="T43" s="294" t="n">
        <v>0.788047845190199681</v>
      </c>
      <c r="U43" s="294" t="n">
        <v>0.00528347942828996775</v>
      </c>
      <c r="V43" s="294" t="n">
        <v>0.013483111539249486</v>
      </c>
      <c r="W43" s="294" t="n">
        <v>0.706814989498283008</v>
      </c>
      <c r="X43" s="294" t="n">
        <v>0.12485574533493291</v>
      </c>
      <c r="Y43" s="294" t="n">
        <v>0.0835543200641606276</v>
      </c>
      <c r="Z43" s="294" t="n">
        <v>0.0835543200641606276</v>
      </c>
    </row>
    <row r="44" spans="1:26">
      <c r="A44" t="s">
        <v>491</v>
      </c>
      <c r="B44" t="n">
        <v>35</v>
      </c>
      <c r="C44" s="294" t="n">
        <v>0.0818755000000000344</v>
      </c>
      <c r="D44" s="294" t="n">
        <v>0.0880876881060355643</v>
      </c>
      <c r="E44" s="294" t="n">
        <v>0.118369378081978205</v>
      </c>
      <c r="F44" s="294" t="n">
        <v>0.310597327994490335</v>
      </c>
      <c r="G44" s="333" t="n">
        <v>0.51228544462774952</v>
      </c>
      <c r="H44" s="333" t="n">
        <v>1.17853520000000001</v>
      </c>
      <c r="I44" s="294" t="n">
        <v>0.0839695881599999794</v>
      </c>
      <c r="J44" s="294" t="n">
        <v>0.606281943140509672</v>
      </c>
      <c r="K44" s="294" t="n">
        <v>0.0391000000000000014</v>
      </c>
      <c r="L44" s="294" t="n">
        <v>0.638353821207201388</v>
      </c>
      <c r="M44" s="294" t="n">
        <v>0.0493366028438622184</v>
      </c>
      <c r="N44" s="333" t="n">
        <v>1.5026057441220912</v>
      </c>
      <c r="O44" s="333" t="n">
        <v>1.32367851634798717</v>
      </c>
      <c r="P44" s="333" t="n">
        <v>8.23761815582044044</v>
      </c>
      <c r="Q44" s="333" t="n">
        <v>14.9735074131999326</v>
      </c>
      <c r="R44" s="333" t="n">
        <v>3.81795996225510059</v>
      </c>
      <c r="S44" s="333" t="n">
        <v>19.7725622331084097</v>
      </c>
      <c r="T44" s="294" t="n">
        <v>0.123274294590408795</v>
      </c>
      <c r="U44" s="294" t="n">
        <v>0.0510076281632619999</v>
      </c>
      <c r="V44" s="294" t="n">
        <v>0.0256387418882515439</v>
      </c>
      <c r="W44" s="294" t="n">
        <v>1.10412969665098171</v>
      </c>
      <c r="X44" s="294" t="n">
        <v>0.0821090990523304498</v>
      </c>
      <c r="Y44" s="294" t="n">
        <v>0.241406412710376905</v>
      </c>
      <c r="Z44" s="294" t="n">
        <v>0.241406412710376905</v>
      </c>
    </row>
    <row r="45" spans="1:26">
      <c r="A45" t="s">
        <v>492</v>
      </c>
      <c r="B45" t="n">
        <v>70</v>
      </c>
      <c r="C45" s="294" t="n">
        <v>0.0786019512195121894</v>
      </c>
      <c r="D45" s="294" t="n">
        <v>0.195895306720589701</v>
      </c>
      <c r="E45" s="294" t="n">
        <v>0.113301464329569601</v>
      </c>
      <c r="F45" s="294" t="n">
        <v>0.203032319225863889</v>
      </c>
      <c r="G45" s="333" t="n">
        <v>0.744159462328691479</v>
      </c>
      <c r="H45" s="333" t="n">
        <v>0.938652774193548467</v>
      </c>
      <c r="I45" s="294" t="n">
        <v>0.0717835609290322552</v>
      </c>
      <c r="J45" s="294" t="n">
        <v>0.455138317974845474</v>
      </c>
      <c r="K45" s="294" t="n">
        <v>0.0391000000000000014</v>
      </c>
      <c r="L45" s="294" t="n">
        <v>0.285236662682452788</v>
      </c>
      <c r="M45" s="294" t="n">
        <v>0.0597843502424443596</v>
      </c>
      <c r="N45" s="333" t="n">
        <v>0.67261691317594714</v>
      </c>
      <c r="O45" s="333" t="n">
        <v>4.15311139316265976</v>
      </c>
      <c r="P45" s="333" t="n">
        <v>13.3659073228702425</v>
      </c>
      <c r="Q45" s="333" t="n">
        <v>21.0999321220984903</v>
      </c>
      <c r="R45" s="333" t="n">
        <v>4.51023964788889131</v>
      </c>
      <c r="S45" s="333" t="n">
        <v>54.5614632214353819</v>
      </c>
      <c r="T45" s="294" t="n">
        <v>-0.0144680399779017277</v>
      </c>
      <c r="U45" s="294" t="n">
        <v>0.0850596919475476376</v>
      </c>
      <c r="V45" s="294" t="n">
        <v>0.0142946602954929558</v>
      </c>
      <c r="W45" s="294" t="n">
        <v>0.0941229500105038497</v>
      </c>
      <c r="X45" s="294" t="n">
        <v>0.129425580493026104</v>
      </c>
      <c r="Y45" s="294" t="n">
        <v>0.630637269968177261</v>
      </c>
      <c r="Z45" s="294" t="n">
        <v>0.630637269968177261</v>
      </c>
    </row>
    <row r="46" spans="1:26">
      <c r="A46" t="s">
        <v>493</v>
      </c>
      <c r="B46" t="n">
        <v>131</v>
      </c>
      <c r="C46" s="294" t="n">
        <v>0.0734110909090909125</v>
      </c>
      <c r="D46" s="294" t="n">
        <v>0.182982930396166292</v>
      </c>
      <c r="E46" s="294" t="n">
        <v>0.295179005962216845</v>
      </c>
      <c r="F46" s="294" t="n">
        <v>0.254717923003651681</v>
      </c>
      <c r="G46" s="333" t="n">
        <v>0.879269332877340482</v>
      </c>
      <c r="H46" s="333" t="n">
        <v>0.99621300000000037</v>
      </c>
      <c r="I46" s="294" t="n">
        <v>0.074707620400000021</v>
      </c>
      <c r="J46" s="294" t="n">
        <v>0.562969153703114955</v>
      </c>
      <c r="K46" s="294" t="n">
        <v>0.0391000000000000014</v>
      </c>
      <c r="L46" s="294" t="n">
        <v>0.173744466789435776</v>
      </c>
      <c r="M46" s="294" t="n">
        <v>0.066890575303609312</v>
      </c>
      <c r="N46" s="333" t="n">
        <v>1.74079395707153672</v>
      </c>
      <c r="O46" s="333" t="n">
        <v>3.29871690792143735</v>
      </c>
      <c r="P46" s="333" t="n">
        <v>14.188402198988868</v>
      </c>
      <c r="Q46" s="333" t="n">
        <v>18.0388637577551947</v>
      </c>
      <c r="R46" s="333" t="n">
        <v>5.09454348491075226</v>
      </c>
      <c r="S46" s="333" t="n">
        <v>48.5898750321123529</v>
      </c>
      <c r="T46" s="294" t="n">
        <v>0.10464759358076734</v>
      </c>
      <c r="U46" s="294" t="n">
        <v>0.0442143973591116968</v>
      </c>
      <c r="V46" s="294" t="n">
        <v>0.0373660985432181647</v>
      </c>
      <c r="W46" s="294" t="n">
        <v>0.280802668763700645</v>
      </c>
      <c r="X46" s="294" t="n">
        <v>0.292537304062632053</v>
      </c>
      <c r="Y46" s="294" t="n">
        <v>0.49615049848516799</v>
      </c>
      <c r="Z46" s="294" t="n">
        <v>0.49615049848516799</v>
      </c>
    </row>
    <row r="47" spans="1:26">
      <c r="A47" t="s">
        <v>494</v>
      </c>
      <c r="B47" t="n">
        <v>61</v>
      </c>
      <c r="C47" s="294" t="n">
        <v>0.0693838461538461893</v>
      </c>
      <c r="D47" s="294" t="n">
        <v>0.254030755648600959</v>
      </c>
      <c r="E47" s="294" t="n">
        <v>0.335109391627548181</v>
      </c>
      <c r="F47" s="294" t="n">
        <v>0.325552673950308424</v>
      </c>
      <c r="G47" s="333" t="n">
        <v>0.82102604136194941</v>
      </c>
      <c r="H47" s="333" t="n">
        <v>0.881602962962962877</v>
      </c>
      <c r="I47" s="294" t="n">
        <v>0.0688854305185184757</v>
      </c>
      <c r="J47" s="294" t="n">
        <v>0.41348623384882508</v>
      </c>
      <c r="K47" s="294" t="n">
        <v>0.0391000000000000014</v>
      </c>
      <c r="L47" s="294" t="n">
        <v>0.135754745174384972</v>
      </c>
      <c r="M47" s="294" t="n">
        <v>0.0635679944598512403</v>
      </c>
      <c r="N47" s="333" t="n">
        <v>1.56761795895462885</v>
      </c>
      <c r="O47" s="333" t="n">
        <v>6.03304124612103454</v>
      </c>
      <c r="P47" s="333" t="n">
        <v>18.7410709584690807</v>
      </c>
      <c r="Q47" s="333" t="n">
        <v>23.4571313186505286</v>
      </c>
      <c r="R47" s="333" t="n">
        <v>7.63156843556579823</v>
      </c>
      <c r="S47" s="333" t="n">
        <v>34.3053307486715866</v>
      </c>
      <c r="T47" s="294" t="n">
        <v>-0.0514589730287579705</v>
      </c>
      <c r="U47" s="294" t="n">
        <v>0.0326616346001704594</v>
      </c>
      <c r="V47" s="294" t="n">
        <v>0.0110759984922629284</v>
      </c>
      <c r="W47" s="294" t="n">
        <v>0.135696324758673104</v>
      </c>
      <c r="X47" s="294" t="n">
        <v>0.209091245740961673</v>
      </c>
      <c r="Y47" s="294" t="n">
        <v>0.272572695312607216</v>
      </c>
      <c r="Z47" s="294" t="n">
        <v>0.272572695312607216</v>
      </c>
    </row>
    <row r="48" spans="1:26">
      <c r="A48" t="s">
        <v>495</v>
      </c>
      <c r="B48" t="n">
        <v>21</v>
      </c>
      <c r="C48" s="294" t="n">
        <v>0.0496747058823529297</v>
      </c>
      <c r="D48" s="294" t="n">
        <v>0.0510620596467536902</v>
      </c>
      <c r="E48" s="294" t="n">
        <v>0.0282352112251783325</v>
      </c>
      <c r="F48" s="294" t="n">
        <v>0.210179946381290383</v>
      </c>
      <c r="G48" s="333" t="n">
        <v>0.631617860134108255</v>
      </c>
      <c r="H48" s="333" t="n">
        <v>0.783854857142856964</v>
      </c>
      <c r="I48" s="294" t="n">
        <v>0.0639198267428571221</v>
      </c>
      <c r="J48" s="294" t="n">
        <v>0.372139733942620143</v>
      </c>
      <c r="K48" s="294" t="n">
        <v>0.0360999999999999988</v>
      </c>
      <c r="L48" s="294" t="n">
        <v>0.277973574021985215</v>
      </c>
      <c r="M48" s="294" t="n">
        <v>0.0537782870291462434</v>
      </c>
      <c r="N48" s="333" t="n">
        <v>0.648350635757128035</v>
      </c>
      <c r="O48" s="333" t="n">
        <v>1.83507174989755839</v>
      </c>
      <c r="P48" s="333" t="n">
        <v>16.4442399258161274</v>
      </c>
      <c r="Q48" s="333" t="n">
        <v>35.8787887079009096</v>
      </c>
      <c r="R48" s="333" t="n">
        <v>1.19467392137019557</v>
      </c>
      <c r="S48" s="333" t="n">
        <v>22.1550248747348206</v>
      </c>
      <c r="T48" s="294" t="n">
        <v>-0.16803822499528442</v>
      </c>
      <c r="U48" s="294" t="n">
        <v>0.0146245537609827743</v>
      </c>
      <c r="V48" s="294" t="n">
        <v>-0.0110728055597170383</v>
      </c>
      <c r="W48" s="294" t="n">
        <v>0.192820660327586495</v>
      </c>
      <c r="X48" s="294" t="n">
        <v>0.0196663737180865219</v>
      </c>
      <c r="Y48" s="294" t="n">
        <v>1.01148571294462264</v>
      </c>
      <c r="Z48" s="294" t="n">
        <v>1.01148571294462264</v>
      </c>
    </row>
    <row r="49" spans="1:26">
      <c r="A49" t="s">
        <v>496</v>
      </c>
      <c r="B49" t="n">
        <v>25</v>
      </c>
      <c r="C49" s="294" t="n">
        <v>0.012959000000000005</v>
      </c>
      <c r="D49" s="294" t="n">
        <v>0.0820545985066210548</v>
      </c>
      <c r="E49" s="294" t="n">
        <v>0.0440037082256447221</v>
      </c>
      <c r="F49" s="294" t="n">
        <v>0.264473160928095963</v>
      </c>
      <c r="G49" s="333" t="n">
        <v>0.805194979294014601</v>
      </c>
      <c r="H49" s="333" t="n">
        <v>1.0076621818181819</v>
      </c>
      <c r="I49" s="294" t="n">
        <v>0.0752892388363636478</v>
      </c>
      <c r="J49" s="294" t="n">
        <v>0.373358194713087288</v>
      </c>
      <c r="K49" s="294" t="n">
        <v>0.0360999999999999988</v>
      </c>
      <c r="L49" s="294" t="n">
        <v>0.36328067512563047</v>
      </c>
      <c r="M49" s="294" t="n">
        <v>0.057905081924941415</v>
      </c>
      <c r="N49" s="333" t="n">
        <v>0.633315344562910099</v>
      </c>
      <c r="O49" s="333" t="n">
        <v>1.44805314986855489</v>
      </c>
      <c r="P49" s="333" t="n">
        <v>8.37378074913599058</v>
      </c>
      <c r="Q49" s="333" t="n">
        <v>11.3651936918018794</v>
      </c>
      <c r="R49" s="333" t="n">
        <v>1.03623986721726769</v>
      </c>
      <c r="S49" s="333" t="n">
        <v>18.1689265492491323</v>
      </c>
      <c r="T49" s="294" t="n">
        <v>0.0564732400747149565</v>
      </c>
      <c r="U49" s="294" t="n">
        <v>0.00180618178953058397</v>
      </c>
      <c r="V49" s="294" t="n">
        <v>-0.00277990938289684975</v>
      </c>
      <c r="W49" s="294" t="n">
        <v>0.164669245979292782</v>
      </c>
      <c r="X49" s="294" t="n">
        <v>0.0417169234783686349</v>
      </c>
      <c r="Y49" s="294" t="n">
        <v>0.657749010121964162</v>
      </c>
      <c r="Z49" s="294" t="n">
        <v>0.657749010121964162</v>
      </c>
    </row>
    <row r="50" spans="1:26">
      <c r="A50" t="s">
        <v>497</v>
      </c>
      <c r="B50" t="n">
        <v>50</v>
      </c>
      <c r="C50" s="294" t="n">
        <v>0.0681668292682927035</v>
      </c>
      <c r="D50" s="294" t="n">
        <v>0.092964764244262561</v>
      </c>
      <c r="E50" s="294" t="n">
        <v>0.0832145801757570247</v>
      </c>
      <c r="F50" s="294" t="n">
        <v>0.282906933812975225</v>
      </c>
      <c r="G50" s="333" t="n">
        <v>0.727742990078495744</v>
      </c>
      <c r="H50" s="333" t="n">
        <v>0.838400333333332881</v>
      </c>
      <c r="I50" s="294" t="n">
        <v>0.0666907369333333122</v>
      </c>
      <c r="J50" s="294" t="n">
        <v>0.346527993385819411</v>
      </c>
      <c r="K50" s="294" t="n">
        <v>0.0360999999999999988</v>
      </c>
      <c r="L50" s="294" t="n">
        <v>0.209025033701704777</v>
      </c>
      <c r="M50" s="294" t="n">
        <v>0.0584855142228917657</v>
      </c>
      <c r="N50" s="333" t="n">
        <v>1.09833360870564478</v>
      </c>
      <c r="O50" s="333" t="n">
        <v>1.52153928843914503</v>
      </c>
      <c r="P50" s="333" t="n">
        <v>11.9130789986805627</v>
      </c>
      <c r="Q50" s="333" t="n">
        <v>15.3559443097987547</v>
      </c>
      <c r="R50" s="333" t="n">
        <v>1.69810793546392507</v>
      </c>
      <c r="S50" s="333" t="n">
        <v>49.6877403576867707</v>
      </c>
      <c r="T50" s="294" t="n">
        <v>-0.36666227798239599</v>
      </c>
      <c r="U50" s="294" t="n">
        <v>0.00860983163798012363</v>
      </c>
      <c r="V50" s="294" t="n">
        <v>0.00572211097504696919</v>
      </c>
      <c r="W50" s="294" t="n">
        <v>0.16365715185530652</v>
      </c>
      <c r="X50" s="294" t="n">
        <v>0.0728969816039987251</v>
      </c>
      <c r="Y50" s="294" t="n">
        <v>0.426481343558618953</v>
      </c>
      <c r="Z50" s="294" t="n">
        <v>0.426481343558618953</v>
      </c>
    </row>
    <row r="51" spans="1:26">
      <c r="A51" t="s">
        <v>498</v>
      </c>
      <c r="B51" t="n">
        <v>165</v>
      </c>
      <c r="C51" s="294" t="n">
        <v>0.078606315789473733</v>
      </c>
      <c r="D51" s="294" t="n">
        <v>0.199791152834473102</v>
      </c>
      <c r="E51" s="294" t="n">
        <v>0.0988798933868994467</v>
      </c>
      <c r="F51" s="294" t="n">
        <v>0.242096123342022462</v>
      </c>
      <c r="G51" s="333" t="n">
        <v>0.866909376521179453</v>
      </c>
      <c r="H51" s="333" t="n">
        <v>0.987428826446281604</v>
      </c>
      <c r="I51" s="294" t="n">
        <v>0.0742613843834710874</v>
      </c>
      <c r="J51" s="294" t="n">
        <v>0.409960931586871613</v>
      </c>
      <c r="K51" s="294" t="n">
        <v>0.0391000000000000014</v>
      </c>
      <c r="L51" s="294" t="n">
        <v>0.296166942037607317</v>
      </c>
      <c r="M51" s="294" t="n">
        <v>0.0610685141087286887</v>
      </c>
      <c r="N51" s="333" t="n">
        <v>0.539630565038405763</v>
      </c>
      <c r="O51" s="333" t="n">
        <v>4.96379619380647341</v>
      </c>
      <c r="P51" s="333" t="n">
        <v>21.4186898028753241</v>
      </c>
      <c r="Q51" s="333" t="n">
        <v>24.3141615826433473</v>
      </c>
      <c r="R51" s="333" t="n">
        <v>2.11938048634149734</v>
      </c>
      <c r="S51" s="333" t="n">
        <v>158.405922112251147</v>
      </c>
      <c r="T51" s="294" t="s">
        <v>457</v>
      </c>
      <c r="U51" s="294" t="n">
        <v>0.0310991478980919789</v>
      </c>
      <c r="V51" s="294" t="n">
        <v>0.0357390119647671911</v>
      </c>
      <c r="W51" s="294" t="n">
        <v>0.369015687493346967</v>
      </c>
      <c r="X51" s="294" t="n">
        <v>0.137544200791820193</v>
      </c>
      <c r="Y51" s="294" t="n">
        <v>0.363254541317616386</v>
      </c>
      <c r="Z51" s="294" t="n">
        <v>0.363254541317616386</v>
      </c>
    </row>
    <row r="52" spans="1:26">
      <c r="A52" t="s">
        <v>499</v>
      </c>
      <c r="B52" t="n">
        <v>126</v>
      </c>
      <c r="C52" s="294" t="n">
        <v>0.0184094936708860786</v>
      </c>
      <c r="D52" s="294" t="n">
        <v>0.136818168574213384</v>
      </c>
      <c r="E52" s="294" t="n">
        <v>0.258881434657464382</v>
      </c>
      <c r="F52" s="294" t="n">
        <v>0.261613608587927438</v>
      </c>
      <c r="G52" s="333" t="n">
        <v>1.03768083877462058</v>
      </c>
      <c r="H52" s="333" t="n">
        <v>1.14932112149532739</v>
      </c>
      <c r="I52" s="294" t="n">
        <v>0.0824855129719626134</v>
      </c>
      <c r="J52" s="294" t="n">
        <v>0.431709600582264397</v>
      </c>
      <c r="K52" s="294" t="n">
        <v>0.0391000000000000014</v>
      </c>
      <c r="L52" s="294" t="n">
        <v>0.164897040038357368</v>
      </c>
      <c r="M52" s="294" t="n">
        <v>0.0737839764786202856</v>
      </c>
      <c r="N52" s="333" t="n">
        <v>2.19946669264958405</v>
      </c>
      <c r="O52" s="333" t="n">
        <v>2.65431832345854124</v>
      </c>
      <c r="P52" s="333" t="n">
        <v>14.8484000699110688</v>
      </c>
      <c r="Q52" s="333" t="n">
        <v>19.4896317264029584</v>
      </c>
      <c r="R52" s="333" t="n">
        <v>4.49452965532567639</v>
      </c>
      <c r="S52" s="333" t="n">
        <v>32.7433458071992405</v>
      </c>
      <c r="T52" s="294" t="n">
        <v>0.229837390519135276</v>
      </c>
      <c r="U52" s="294" t="n">
        <v>0.0267380898254108823</v>
      </c>
      <c r="V52" s="294" t="n">
        <v>0.103788213598228629</v>
      </c>
      <c r="W52" s="294" t="n">
        <v>1.12475580445292889</v>
      </c>
      <c r="X52" s="294" t="n">
        <v>0.190825470115317444</v>
      </c>
      <c r="Y52" s="294" t="n">
        <v>0.300983435983636038</v>
      </c>
      <c r="Z52" s="294" t="n">
        <v>0.300983435983636083</v>
      </c>
    </row>
    <row r="53" spans="1:26">
      <c r="A53" t="s">
        <v>500</v>
      </c>
      <c r="B53" t="n">
        <v>102</v>
      </c>
      <c r="C53" s="294" t="n">
        <v>0.147218461538461547</v>
      </c>
      <c r="D53" s="294" t="n">
        <v>0.179299016817500405</v>
      </c>
      <c r="E53" s="294" t="n">
        <v>0.143449296519343221</v>
      </c>
      <c r="F53" s="294" t="n">
        <v>0.423045891611614344</v>
      </c>
      <c r="G53" s="333" t="n">
        <v>0.960162184238802041</v>
      </c>
      <c r="H53" s="333" t="n">
        <v>1.1032091294117643</v>
      </c>
      <c r="I53" s="294" t="n">
        <v>0.0801430237741176299</v>
      </c>
      <c r="J53" s="294" t="n">
        <v>0.82328079886594594</v>
      </c>
      <c r="K53" s="294" t="n">
        <v>0.0690999999999999837</v>
      </c>
      <c r="L53" s="294" t="n">
        <v>0.233949491854553449</v>
      </c>
      <c r="M53" s="294" t="n">
        <v>0.0736796956007091364</v>
      </c>
      <c r="N53" s="333" t="n">
        <v>0.813572459449634167</v>
      </c>
      <c r="O53" s="333" t="n">
        <v>2.53900623337922893</v>
      </c>
      <c r="P53" s="333" t="n">
        <v>8.81437001919979402</v>
      </c>
      <c r="Q53" s="333" t="n">
        <v>13.9381167716810488</v>
      </c>
      <c r="R53" s="333" t="n">
        <v>2.93292233754552889</v>
      </c>
      <c r="S53" s="333" t="n">
        <v>52.1090375192540307</v>
      </c>
      <c r="T53" s="294" t="n">
        <v>0.153008387254767619</v>
      </c>
      <c r="U53" s="294" t="n">
        <v>0.0811388752523255441</v>
      </c>
      <c r="V53" s="294" t="n">
        <v>-0.00108980635771316493</v>
      </c>
      <c r="W53" s="294" t="n">
        <v>0.258754044653984216</v>
      </c>
      <c r="X53" s="294" t="n">
        <v>0.107778637482763351</v>
      </c>
      <c r="Y53" s="294" t="n">
        <v>0.185721702141912175</v>
      </c>
      <c r="Z53" s="294" t="n">
        <v>0.185721702141912175</v>
      </c>
    </row>
    <row r="54" spans="1:26">
      <c r="A54" t="s">
        <v>501</v>
      </c>
      <c r="B54" t="n">
        <v>24</v>
      </c>
      <c r="C54" s="294" t="n">
        <v>0.0426413333333333355</v>
      </c>
      <c r="D54" s="294" t="n">
        <v>0.0859602574120844309</v>
      </c>
      <c r="E54" s="294" t="n">
        <v>0.17715975041930152</v>
      </c>
      <c r="F54" s="294" t="n">
        <v>0.346636786079161574</v>
      </c>
      <c r="G54" s="333" t="n">
        <v>1.09841434385381431</v>
      </c>
      <c r="H54" s="333" t="n">
        <v>1.37344190476190464</v>
      </c>
      <c r="I54" s="294" t="n">
        <v>0.0938708487619047638</v>
      </c>
      <c r="J54" s="294" t="n">
        <v>0.496588287462273303</v>
      </c>
      <c r="K54" s="294" t="n">
        <v>0.0391000000000000014</v>
      </c>
      <c r="L54" s="294" t="n">
        <v>0.340575756118115569</v>
      </c>
      <c r="M54" s="294" t="n">
        <v>0.0720212626361757025</v>
      </c>
      <c r="N54" s="333" t="n">
        <v>2.52247660140775665</v>
      </c>
      <c r="O54" s="333" t="n">
        <v>1.02158063680302891</v>
      </c>
      <c r="P54" s="333" t="n">
        <v>8.37039790559732033</v>
      </c>
      <c r="Q54" s="333" t="n">
        <v>11.9300646512148028</v>
      </c>
      <c r="R54" s="333" t="n">
        <v>3.1235004873025507</v>
      </c>
      <c r="S54" s="333" t="n">
        <v>35.3762664412015226</v>
      </c>
      <c r="T54" s="294" t="n">
        <v>0.082130701518049225</v>
      </c>
      <c r="U54" s="294" t="n">
        <v>0.0289144866149313895</v>
      </c>
      <c r="V54" s="294" t="n">
        <v>0.0310443489437257591</v>
      </c>
      <c r="W54" s="294" t="n">
        <v>0.406612087744730921</v>
      </c>
      <c r="X54" s="294" t="n">
        <v>0.087016980971072595</v>
      </c>
      <c r="Y54" s="294" t="n">
        <v>0.823602209164581112</v>
      </c>
      <c r="Z54" s="294" t="n">
        <v>0.823602209164581112</v>
      </c>
    </row>
    <row r="55" spans="1:26">
      <c r="A55" t="s">
        <v>502</v>
      </c>
      <c r="B55" t="n">
        <v>5</v>
      </c>
      <c r="C55" s="294" t="n">
        <v>-0.123333333333333317</v>
      </c>
      <c r="D55" s="294" t="n">
        <v>0.0292833773719947565</v>
      </c>
      <c r="E55" s="294" t="n">
        <v>0.021514270249145433</v>
      </c>
      <c r="F55" s="294" t="n">
        <v>0.182197165204272</v>
      </c>
      <c r="G55" s="333" t="n">
        <v>1.25076403539539349</v>
      </c>
      <c r="H55" s="333" t="n">
        <v>1.37240000000000029</v>
      </c>
      <c r="I55" s="294" t="n">
        <v>0.093817920000000008</v>
      </c>
      <c r="J55" s="294" t="n">
        <v>0.20212920654914841</v>
      </c>
      <c r="K55" s="294" t="n">
        <v>0.0310999999999999988</v>
      </c>
      <c r="L55" s="294" t="n">
        <v>0.132645546033604655</v>
      </c>
      <c r="M55" s="294" t="n">
        <v>0.084508600899913251</v>
      </c>
      <c r="N55" s="333" t="n">
        <v>0.825462415997881571</v>
      </c>
      <c r="O55" s="333" t="n">
        <v>2.066178429878609</v>
      </c>
      <c r="P55" s="333" t="n">
        <v>12.9464990180696322</v>
      </c>
      <c r="Q55" s="333" t="n">
        <v>70.355411873658511</v>
      </c>
      <c r="R55" s="333" t="n">
        <v>1.81269556820151045</v>
      </c>
      <c r="S55" s="333" t="n">
        <v>55.9425019422960972</v>
      </c>
      <c r="T55" s="294" t="n">
        <v>0.042146541667252313</v>
      </c>
      <c r="U55" s="294" t="n">
        <v>0.0980870591873164166</v>
      </c>
      <c r="V55" s="294" t="n">
        <v>-0.0277959717205222878</v>
      </c>
      <c r="W55" s="294" t="n">
        <v>-0.928132297022819941</v>
      </c>
      <c r="X55" s="294" t="n">
        <v>0.0590268271645279619</v>
      </c>
      <c r="Y55" s="294" t="n">
        <v>1.16213655179292807</v>
      </c>
      <c r="Z55" s="294" t="n">
        <v>1.16213655179292807</v>
      </c>
    </row>
    <row r="56" spans="1:26">
      <c r="A56" t="s">
        <v>503</v>
      </c>
      <c r="B56" t="n">
        <v>311</v>
      </c>
      <c r="C56" s="294" t="n">
        <v>-0.0171941935483870889</v>
      </c>
      <c r="D56" s="294" t="n">
        <v>0.00232908245628930777</v>
      </c>
      <c r="E56" s="294" t="n">
        <v>0.000861356250515142641</v>
      </c>
      <c r="F56" s="294" t="n">
        <v>0.0516128110087344716</v>
      </c>
      <c r="G56" s="333" t="n">
        <v>1.00369011481320514</v>
      </c>
      <c r="H56" s="333" t="n">
        <v>1.25873201498127352</v>
      </c>
      <c r="I56" s="294" t="n">
        <v>0.0880435863610486891</v>
      </c>
      <c r="J56" s="294" t="n">
        <v>0.788825354292220915</v>
      </c>
      <c r="K56" s="294" t="n">
        <v>0.0690999999999999837</v>
      </c>
      <c r="L56" s="294" t="n">
        <v>0.295333027437910687</v>
      </c>
      <c r="M56" s="294" t="n">
        <v>0.0775511167234783727</v>
      </c>
      <c r="N56" s="333" t="n">
        <v>0.379021246972490555</v>
      </c>
      <c r="O56" s="333" t="n">
        <v>4.3286610153669125</v>
      </c>
      <c r="P56" s="333" t="n">
        <v>10.5550401837169421</v>
      </c>
      <c r="Q56" s="333" t="s">
        <v>457</v>
      </c>
      <c r="R56" s="333" t="n">
        <v>1.93378174459842498</v>
      </c>
      <c r="S56" s="333" t="n">
        <v>126.145083170465952</v>
      </c>
      <c r="T56" s="294" t="n">
        <v>-0.0175149956779598988</v>
      </c>
      <c r="U56" s="294" t="n">
        <v>0.539683859349980732</v>
      </c>
      <c r="V56" s="294" t="n">
        <v>0.220339279002767752</v>
      </c>
      <c r="W56" s="294" t="s">
        <v>457</v>
      </c>
      <c r="X56" s="294" t="n">
        <v>-0.048665360815472205</v>
      </c>
      <c r="Y56" s="294" t="n">
        <v>0.00826984536441813844</v>
      </c>
      <c r="Z56" s="294" t="n">
        <v>0.00826984536441810469</v>
      </c>
    </row>
    <row r="57" spans="1:26">
      <c r="A57" t="s">
        <v>504</v>
      </c>
      <c r="B57" t="n">
        <v>16</v>
      </c>
      <c r="C57" s="294" t="n">
        <v>0.138884999999999948</v>
      </c>
      <c r="D57" s="294" t="n">
        <v>0.177962262176291919</v>
      </c>
      <c r="E57" s="294" t="n">
        <v>0.0612840122685379374</v>
      </c>
      <c r="F57" s="294" t="n">
        <v>0.257780611975564833</v>
      </c>
      <c r="G57" s="333" t="n">
        <v>0.716467562685167092</v>
      </c>
      <c r="H57" s="333" t="n">
        <v>1.20648320000000009</v>
      </c>
      <c r="I57" s="294" t="n">
        <v>0.0853893465599999857</v>
      </c>
      <c r="J57" s="294" t="n">
        <v>0.627866946896030065</v>
      </c>
      <c r="K57" s="294" t="n">
        <v>0.0391000000000000014</v>
      </c>
      <c r="L57" s="294" t="n">
        <v>0.483010444784996462</v>
      </c>
      <c r="M57" s="294" t="n">
        <v>0.0584985386753851344</v>
      </c>
      <c r="N57" s="333" t="n">
        <v>0.361869629692622574</v>
      </c>
      <c r="O57" s="333" t="n">
        <v>4.51966568564991977</v>
      </c>
      <c r="P57" s="333" t="n">
        <v>14.5774352774192071</v>
      </c>
      <c r="Q57" s="333" t="n">
        <v>25.2955076611929606</v>
      </c>
      <c r="R57" s="333" t="n">
        <v>1.62729696626358677</v>
      </c>
      <c r="S57" s="333" t="n">
        <v>43.8736056314370444</v>
      </c>
      <c r="T57" s="294" t="n">
        <v>0.0423896069286036159</v>
      </c>
      <c r="U57" s="294" t="n">
        <v>0.235577191298731181</v>
      </c>
      <c r="V57" s="294" t="n">
        <v>0.129797059228867306</v>
      </c>
      <c r="W57" s="294" t="n">
        <v>0.986476917539340192</v>
      </c>
      <c r="X57" s="294" t="n">
        <v>0.0197244659385208276</v>
      </c>
      <c r="Y57" s="294" t="n">
        <v>3.10268522566673077</v>
      </c>
      <c r="Z57" s="294" t="n">
        <v>3.10268522566673077</v>
      </c>
    </row>
    <row r="58" spans="1:26">
      <c r="A58" t="s">
        <v>505</v>
      </c>
      <c r="B58" t="n">
        <v>130</v>
      </c>
      <c r="C58" s="294" t="n">
        <v>-0.0493050000000000033</v>
      </c>
      <c r="D58" s="294" t="n">
        <v>0.0319944847758703643</v>
      </c>
      <c r="E58" s="294" t="n">
        <v>0.0641610710374344162</v>
      </c>
      <c r="F58" s="294" t="n">
        <v>0.294029996066246504</v>
      </c>
      <c r="G58" s="333" t="n">
        <v>1.05589831295975944</v>
      </c>
      <c r="H58" s="333" t="n">
        <v>1.22720594285714268</v>
      </c>
      <c r="I58" s="294" t="n">
        <v>0.0864420618971428567</v>
      </c>
      <c r="J58" s="294" t="n">
        <v>0.73286391629531531</v>
      </c>
      <c r="K58" s="294" t="n">
        <v>0.0466000000000000014</v>
      </c>
      <c r="L58" s="294" t="n">
        <v>0.236520259643709174</v>
      </c>
      <c r="M58" s="294" t="n">
        <v>0.074373364488634639</v>
      </c>
      <c r="N58" s="333" t="n">
        <v>2.11802780484065778</v>
      </c>
      <c r="O58" s="333" t="n">
        <v>1.01508339049219432</v>
      </c>
      <c r="P58" s="333" t="n">
        <v>12.1458566720392156</v>
      </c>
      <c r="Q58" s="333" t="n">
        <v>30.0320571871569797</v>
      </c>
      <c r="R58" s="333" t="n">
        <v>1.6364966148041411</v>
      </c>
      <c r="S58" s="333" t="n">
        <v>131.004643286575487</v>
      </c>
      <c r="T58" s="294" t="n">
        <v>0.09770300823273665</v>
      </c>
      <c r="U58" s="294" t="n">
        <v>0.0353820189683002839</v>
      </c>
      <c r="V58" s="294" t="n">
        <v>0.0115452900163877636</v>
      </c>
      <c r="W58" s="294" t="n">
        <v>0.72525884110631198</v>
      </c>
      <c r="X58" s="294" t="n">
        <v>0.0197095035281801518</v>
      </c>
      <c r="Y58" s="294" t="n">
        <v>2.42267051380630738</v>
      </c>
      <c r="Z58" s="294" t="n">
        <v>2.42267051380630738</v>
      </c>
    </row>
    <row r="59" spans="1:26">
      <c r="A59" t="s">
        <v>506</v>
      </c>
      <c r="B59" t="n">
        <v>25</v>
      </c>
      <c r="C59" s="294" t="n">
        <v>0.0167361111111111054</v>
      </c>
      <c r="D59" s="294" t="n">
        <v>0.100039021534869366</v>
      </c>
      <c r="E59" s="294" t="n">
        <v>0.145761286234917691</v>
      </c>
      <c r="F59" s="294" t="n">
        <v>0.274560654056967035</v>
      </c>
      <c r="G59" s="333" t="n">
        <v>0.551068480148202955</v>
      </c>
      <c r="H59" s="333" t="n">
        <v>0.73852581818181795</v>
      </c>
      <c r="I59" s="294" t="n">
        <v>0.061617111563636362</v>
      </c>
      <c r="J59" s="294" t="n">
        <v>0.276747339871080067</v>
      </c>
      <c r="K59" s="294" t="n">
        <v>0.0360999999999999988</v>
      </c>
      <c r="L59" s="294" t="n">
        <v>0.334327415304754672</v>
      </c>
      <c r="M59" s="294" t="n">
        <v>0.0501894288823223622</v>
      </c>
      <c r="N59" s="333" t="n">
        <v>1.87698680953190404</v>
      </c>
      <c r="O59" s="333" t="n">
        <v>1.6493481897316693</v>
      </c>
      <c r="P59" s="333" t="n">
        <v>10.2982885787418397</v>
      </c>
      <c r="Q59" s="333" t="n">
        <v>16.4641577347581958</v>
      </c>
      <c r="R59" s="333" t="n">
        <v>3.88154337331805586</v>
      </c>
      <c r="S59" s="333" t="n">
        <v>26.4374758282789202</v>
      </c>
      <c r="T59" s="294" t="n">
        <v>0.104097359370148324</v>
      </c>
      <c r="U59" s="294" t="n">
        <v>0.0507471463518340826</v>
      </c>
      <c r="V59" s="294" t="n">
        <v>0.0648521354981103659</v>
      </c>
      <c r="W59" s="294" t="n">
        <v>0.893328308162857709</v>
      </c>
      <c r="X59" s="294" t="n">
        <v>0.205377454458942221</v>
      </c>
      <c r="Y59" s="294" t="n">
        <v>0.395902269210547253</v>
      </c>
      <c r="Z59" s="294" t="n">
        <v>0.395902269210547342</v>
      </c>
    </row>
    <row r="60" spans="1:26">
      <c r="A60" t="s">
        <v>507</v>
      </c>
      <c r="B60" t="n">
        <v>21</v>
      </c>
      <c r="C60" s="294" t="n">
        <v>0.0723353333333333648</v>
      </c>
      <c r="D60" s="294" t="n">
        <v>0.0543870859845218035</v>
      </c>
      <c r="E60" s="294" t="n">
        <v>0.0847881487547225632</v>
      </c>
      <c r="F60" s="294" t="n">
        <v>0.228554814927941408</v>
      </c>
      <c r="G60" s="333" t="n">
        <v>0.97753020034772824</v>
      </c>
      <c r="H60" s="333" t="n">
        <v>1.1990846315789474</v>
      </c>
      <c r="I60" s="294" t="n">
        <v>0.0850134992842105319</v>
      </c>
      <c r="J60" s="294" t="n">
        <v>0.568136331970694819</v>
      </c>
      <c r="K60" s="294" t="n">
        <v>0.0391000000000000014</v>
      </c>
      <c r="L60" s="294" t="n">
        <v>0.285754842655427552</v>
      </c>
      <c r="M60" s="294" t="n">
        <v>0.069211971077012322</v>
      </c>
      <c r="N60" s="333" t="n">
        <v>1.81621554006102919</v>
      </c>
      <c r="O60" s="333" t="n">
        <v>0.970291175911262727</v>
      </c>
      <c r="P60" s="333" t="n">
        <v>8.89802816927204532</v>
      </c>
      <c r="Q60" s="333" t="n">
        <v>17.7120729538409094</v>
      </c>
      <c r="R60" s="333" t="n">
        <v>1.88963780483513482</v>
      </c>
      <c r="S60" s="333" t="n">
        <v>75.0883522235311602</v>
      </c>
      <c r="T60" s="294" t="n">
        <v>0.139869535839441085</v>
      </c>
      <c r="U60" s="294" t="n">
        <v>0.0432670244778837443</v>
      </c>
      <c r="V60" s="294" t="n">
        <v>0.0149991465406253717</v>
      </c>
      <c r="W60" s="294" t="n">
        <v>0.428496796746335118</v>
      </c>
      <c r="X60" s="294" t="n">
        <v>0.0614750071816596666</v>
      </c>
      <c r="Y60" s="294" t="n">
        <v>0.46742274231984009</v>
      </c>
      <c r="Z60" s="294" t="n">
        <v>0.46742274231984009</v>
      </c>
    </row>
    <row r="61" spans="1:26">
      <c r="A61" t="s">
        <v>508</v>
      </c>
      <c r="B61" t="n">
        <v>61</v>
      </c>
      <c r="C61" s="294" t="n">
        <v>0.0778027450980391855</v>
      </c>
      <c r="D61" s="294" t="n">
        <v>0.179151894707211845</v>
      </c>
      <c r="E61" s="294" t="n">
        <v>0.0642591335156671839</v>
      </c>
      <c r="F61" s="294" t="n">
        <v>0.171711203011073099</v>
      </c>
      <c r="G61" s="333" t="n">
        <v>0.324935655403491852</v>
      </c>
      <c r="H61" s="333" t="n">
        <v>0.504522947368421271</v>
      </c>
      <c r="I61" s="294" t="n">
        <v>0.0497297657263158133</v>
      </c>
      <c r="J61" s="294" t="n">
        <v>0.312260081991556504</v>
      </c>
      <c r="K61" s="294" t="n">
        <v>0.0360999999999999988</v>
      </c>
      <c r="L61" s="294" t="n">
        <v>0.432984095743520569</v>
      </c>
      <c r="M61" s="294" t="n">
        <v>0.040076919732589058</v>
      </c>
      <c r="N61" s="333" t="n">
        <v>0.450235536259139124</v>
      </c>
      <c r="O61" s="333" t="n">
        <v>3.51018057714757648</v>
      </c>
      <c r="P61" s="333" t="n">
        <v>10.5458680426515272</v>
      </c>
      <c r="Q61" s="333" t="n">
        <v>19.5649056824094068</v>
      </c>
      <c r="R61" s="333" t="n">
        <v>1.87593509537028442</v>
      </c>
      <c r="S61" s="333" t="n">
        <v>25.9539382371713714</v>
      </c>
      <c r="T61" s="294" t="n">
        <v>0.073165132769177248</v>
      </c>
      <c r="U61" s="294" t="n">
        <v>0.269606276894248253</v>
      </c>
      <c r="V61" s="294" t="n">
        <v>0.184793209362846156</v>
      </c>
      <c r="W61" s="294" t="n">
        <v>1.36714263820022475</v>
      </c>
      <c r="X61" s="294" t="n">
        <v>0.155457210655481344</v>
      </c>
      <c r="Y61" s="294" t="n">
        <v>0.457419170026098598</v>
      </c>
      <c r="Z61" s="294" t="n">
        <v>0.457419170026098598</v>
      </c>
    </row>
    <row r="62" spans="1:26">
      <c r="A62" t="s">
        <v>509</v>
      </c>
      <c r="B62" t="n">
        <v>111</v>
      </c>
      <c r="C62" s="294" t="n">
        <v>-0.0554300000000000015</v>
      </c>
      <c r="D62" s="294" t="n">
        <v>0.173878413827200067</v>
      </c>
      <c r="E62" s="294" t="n">
        <v>0.0753408951708794294</v>
      </c>
      <c r="F62" s="294" t="n">
        <v>0.356186184746656354</v>
      </c>
      <c r="G62" s="333" t="n">
        <v>0.946399809783957124</v>
      </c>
      <c r="H62" s="333" t="n">
        <v>0.963149670886075882</v>
      </c>
      <c r="I62" s="294" t="n">
        <v>0.0730280032810126656</v>
      </c>
      <c r="J62" s="294" t="n">
        <v>0.913515767423059266</v>
      </c>
      <c r="K62" s="294" t="n">
        <v>0.0816000000000000014</v>
      </c>
      <c r="L62" s="294" t="n">
        <v>0.151457279168748515</v>
      </c>
      <c r="M62" s="294" t="n">
        <v>0.0713601552258731342</v>
      </c>
      <c r="N62" s="333" t="n">
        <v>0.442839736968389186</v>
      </c>
      <c r="O62" s="333" t="n">
        <v>3.24022860952397496</v>
      </c>
      <c r="P62" s="333" t="n">
        <v>8.37865830674840062</v>
      </c>
      <c r="Q62" s="333" t="n">
        <v>18.141071555611525</v>
      </c>
      <c r="R62" s="333" t="n">
        <v>1.4930715755783746</v>
      </c>
      <c r="S62" s="333" t="n">
        <v>36.1580479980589544</v>
      </c>
      <c r="T62" s="294" t="n">
        <v>0.135565238492772977</v>
      </c>
      <c r="U62" s="294" t="n">
        <v>0.182170232288082179</v>
      </c>
      <c r="V62" s="294" t="n">
        <v>0.0108354783718762882</v>
      </c>
      <c r="W62" s="294" t="n">
        <v>0.222526861750824478</v>
      </c>
      <c r="X62" s="294" t="n">
        <v>0.0188691671963503502</v>
      </c>
      <c r="Y62" s="294" t="n">
        <v>0.637849109128434044</v>
      </c>
      <c r="Z62" s="294" t="n">
        <v>0.637849109128434044</v>
      </c>
    </row>
    <row r="63" spans="1:26">
      <c r="A63" t="s">
        <v>510</v>
      </c>
      <c r="B63" t="n">
        <v>41</v>
      </c>
      <c r="C63" s="294" t="n">
        <v>-0.0165095238095238006</v>
      </c>
      <c r="D63" s="294" t="n">
        <v>0.0742831321253511589</v>
      </c>
      <c r="E63" s="294" t="n">
        <v>0.134824257687482207</v>
      </c>
      <c r="F63" s="294" t="n">
        <v>0.308877583184197002</v>
      </c>
      <c r="G63" s="333" t="n">
        <v>0.826233641388768625</v>
      </c>
      <c r="H63" s="333" t="n">
        <v>1.01899097435897446</v>
      </c>
      <c r="I63" s="294" t="n">
        <v>0.0758647414974358814</v>
      </c>
      <c r="J63" s="294" t="n">
        <v>0.541412319763779237</v>
      </c>
      <c r="K63" s="294" t="n">
        <v>0.0391000000000000014</v>
      </c>
      <c r="L63" s="294" t="n">
        <v>0.307921548954413593</v>
      </c>
      <c r="M63" s="294" t="n">
        <v>0.0616545495332486126</v>
      </c>
      <c r="N63" s="333" t="n">
        <v>2.06086888424251669</v>
      </c>
      <c r="O63" s="333" t="n">
        <v>1.04268404733320619</v>
      </c>
      <c r="P63" s="333" t="n">
        <v>8.02284212217108639</v>
      </c>
      <c r="Q63" s="333" t="n">
        <v>13.8536655072454487</v>
      </c>
      <c r="R63" s="333" t="n">
        <v>1.7588531606076856</v>
      </c>
      <c r="S63" s="333" t="n">
        <v>69.1663060380671766</v>
      </c>
      <c r="T63" s="294" t="n">
        <v>0.113378824033605441</v>
      </c>
      <c r="U63" s="294" t="n">
        <v>0.0260175701334474407</v>
      </c>
      <c r="V63" s="294" t="n">
        <v>0.0063302352670759614</v>
      </c>
      <c r="W63" s="294" t="n">
        <v>0.105405013033674155</v>
      </c>
      <c r="X63" s="294" t="n">
        <v>-0.0250970236471701957</v>
      </c>
      <c r="Y63" s="294" t="n">
        <v>0.00627423897292840405</v>
      </c>
      <c r="Z63" s="294" t="n">
        <v>0.00627423897292844757</v>
      </c>
    </row>
    <row r="64" spans="1:26">
      <c r="A64" t="s">
        <v>511</v>
      </c>
      <c r="B64" t="n">
        <v>244</v>
      </c>
      <c r="C64" s="294" t="n">
        <v>0.150159408284023659</v>
      </c>
      <c r="D64" s="294" t="n">
        <v>0.223077200862260616</v>
      </c>
      <c r="E64" s="294" t="n">
        <v>0.0307974323930431293</v>
      </c>
      <c r="F64" s="294" t="n">
        <v>0.0223478479015012965</v>
      </c>
      <c r="G64" s="333" t="n">
        <v>0.421335920717822976</v>
      </c>
      <c r="H64" s="333" t="n">
        <v>0.659257147826087486</v>
      </c>
      <c r="I64" s="294" t="n">
        <v>0.0575902631095652406</v>
      </c>
      <c r="J64" s="294" t="n">
        <v>0.321403231207192874</v>
      </c>
      <c r="K64" s="294" t="n">
        <v>0.0360999999999999988</v>
      </c>
      <c r="L64" s="294" t="n">
        <v>0.439785438533319706</v>
      </c>
      <c r="M64" s="294" t="n">
        <v>0.0443288572842759798</v>
      </c>
      <c r="N64" s="333" t="n">
        <v>0.14081606788640542</v>
      </c>
      <c r="O64" s="333" t="n">
        <v>11.4750261376818781</v>
      </c>
      <c r="P64" s="333" t="n">
        <v>20.7889278363686643</v>
      </c>
      <c r="Q64" s="333" t="n">
        <v>46.7965666512984981</v>
      </c>
      <c r="R64" s="333" t="n">
        <v>2.05372882359511699</v>
      </c>
      <c r="S64" s="333" t="n">
        <v>42.5030251794684304</v>
      </c>
      <c r="T64" s="294" t="n">
        <v>0.463528204565239665</v>
      </c>
      <c r="U64" s="294" t="n">
        <v>0.0322670275276182261</v>
      </c>
      <c r="V64" s="294" t="n">
        <v>-0.083940780485568407</v>
      </c>
      <c r="W64" s="294" t="n">
        <v>-0.359801631943067024</v>
      </c>
      <c r="X64" s="294" t="n">
        <v>0.0953698015341905148</v>
      </c>
      <c r="Y64" s="294" t="n">
        <v>1.04868751808973371</v>
      </c>
      <c r="Z64" s="294" t="n">
        <v>1.04868751808973371</v>
      </c>
    </row>
    <row r="65" spans="1:26">
      <c r="A65" t="s">
        <v>512</v>
      </c>
      <c r="B65" t="n">
        <v>20</v>
      </c>
      <c r="C65" s="294" t="n">
        <v>0.139016666666666655</v>
      </c>
      <c r="D65" s="294" t="n">
        <v>0.115855843722098739</v>
      </c>
      <c r="E65" s="294" t="n">
        <v>0.0227163251640628339</v>
      </c>
      <c r="F65" s="294" t="n">
        <v>0.35932382063928312</v>
      </c>
      <c r="G65" s="333" t="n">
        <v>0.613558112944646883</v>
      </c>
      <c r="H65" s="333" t="n">
        <v>0.749503999999999859</v>
      </c>
      <c r="I65" s="294" t="n">
        <v>0.0621748032000000084</v>
      </c>
      <c r="J65" s="294" t="n">
        <v>0.442661569597057625</v>
      </c>
      <c r="K65" s="294" t="n">
        <v>0.0391000000000000014</v>
      </c>
      <c r="L65" s="294" t="n">
        <v>0.311777169472977844</v>
      </c>
      <c r="M65" s="294" t="n">
        <v>0.0520548894138235685</v>
      </c>
      <c r="N65" s="333" t="n">
        <v>0.208147173464241231</v>
      </c>
      <c r="O65" s="333" t="n">
        <v>7.42104039150658323</v>
      </c>
      <c r="P65" s="333" t="n">
        <v>28.9160073466008001</v>
      </c>
      <c r="Q65" s="333" t="n">
        <v>63.2155895203805684</v>
      </c>
      <c r="R65" s="333" t="n">
        <v>1.59961756054472755</v>
      </c>
      <c r="S65" s="333" t="n">
        <v>38.1066212465284764</v>
      </c>
      <c r="T65" s="294" t="n">
        <v>0.650590208747514698</v>
      </c>
      <c r="U65" s="294" t="n">
        <v>0.0354649878506737348</v>
      </c>
      <c r="V65" s="294" t="n">
        <v>-0.0511134581400485732</v>
      </c>
      <c r="W65" s="294" t="n">
        <v>0.069910032673071596</v>
      </c>
      <c r="X65" s="294" t="n">
        <v>0.0461520391894154347</v>
      </c>
      <c r="Y65" s="294" t="n">
        <v>0</v>
      </c>
      <c r="Z65" s="294" t="n">
        <v>0</v>
      </c>
    </row>
    <row r="66" spans="1:26">
      <c r="A66" t="s">
        <v>513</v>
      </c>
      <c r="B66" t="n">
        <v>10</v>
      </c>
      <c r="C66" s="294" t="n">
        <v>0.30990000000000002</v>
      </c>
      <c r="D66" s="294" t="n">
        <v>0.146359917894608582</v>
      </c>
      <c r="E66" s="294" t="n">
        <v>0.0431503030218432482</v>
      </c>
      <c r="F66" s="294" t="n">
        <v>0.2641445511010728</v>
      </c>
      <c r="G66" s="333" t="n">
        <v>0.733310969108686095</v>
      </c>
      <c r="H66" s="333" t="n">
        <v>0.745129777777777758</v>
      </c>
      <c r="I66" s="294" t="n">
        <v>0.061952592711111123</v>
      </c>
      <c r="J66" s="294" t="n">
        <v>0.410678323465760897</v>
      </c>
      <c r="K66" s="294" t="n">
        <v>0.0391000000000000014</v>
      </c>
      <c r="L66" s="294" t="n">
        <v>0.190967681612142641</v>
      </c>
      <c r="M66" s="294" t="n">
        <v>0.0557964453379953262</v>
      </c>
      <c r="N66" s="333" t="n">
        <v>0.337985129291278863</v>
      </c>
      <c r="O66" s="333" t="n">
        <v>6.2003245044433406</v>
      </c>
      <c r="P66" s="333" t="n">
        <v>11.9617608429604516</v>
      </c>
      <c r="Q66" s="333" t="n">
        <v>29.0675184275449467</v>
      </c>
      <c r="R66" s="333" t="n">
        <v>1.2498473018698335</v>
      </c>
      <c r="S66" s="333" t="n">
        <v>28.4743223564389361</v>
      </c>
      <c r="T66" s="294" t="n">
        <v>1.97484077791885131</v>
      </c>
      <c r="U66" s="294" t="n">
        <v>0.0195274167991984804</v>
      </c>
      <c r="V66" s="294" t="n">
        <v>-0.11849742022712595</v>
      </c>
      <c r="W66" s="294" t="n">
        <v>-2.1650425112524827</v>
      </c>
      <c r="X66" s="294" t="n">
        <v>0.0416716410579319252</v>
      </c>
      <c r="Y66" s="294" t="n">
        <v>0.27909108768253561</v>
      </c>
      <c r="Z66" s="294" t="n">
        <v>0.279091087682535655</v>
      </c>
    </row>
    <row r="67" spans="1:26">
      <c r="A67" t="s">
        <v>514</v>
      </c>
      <c r="B67" t="n">
        <v>60</v>
      </c>
      <c r="C67" s="294" t="n">
        <v>0.00189473684210526407</v>
      </c>
      <c r="D67" s="294" t="n">
        <v>0.0758499375604767412</v>
      </c>
      <c r="E67" s="294" t="n">
        <v>0.11048524973121876</v>
      </c>
      <c r="F67" s="294" t="n">
        <v>0.282590800168480438</v>
      </c>
      <c r="G67" s="333" t="n">
        <v>0.801856422168491356</v>
      </c>
      <c r="H67" s="333" t="n">
        <v>1.02257666666666647</v>
      </c>
      <c r="I67" s="294" t="n">
        <v>0.076046894666666649</v>
      </c>
      <c r="J67" s="294" t="n">
        <v>0.540143413741908418</v>
      </c>
      <c r="K67" s="294" t="n">
        <v>0.0391000000000000014</v>
      </c>
      <c r="L67" s="294" t="n">
        <v>0.318401912878652738</v>
      </c>
      <c r="M67" s="294" t="n">
        <v>0.0612950491794206354</v>
      </c>
      <c r="N67" s="333" t="n">
        <v>1.59690851824218942</v>
      </c>
      <c r="O67" s="333" t="n">
        <v>1.98705608989317923</v>
      </c>
      <c r="P67" s="333" t="n">
        <v>14.0790896801745102</v>
      </c>
      <c r="Q67" s="333" t="n">
        <v>24.6076808675181375</v>
      </c>
      <c r="R67" s="333" t="n">
        <v>3.06218096615351376</v>
      </c>
      <c r="S67" s="333" t="n">
        <v>75.2025816502437436</v>
      </c>
      <c r="T67" s="294" t="n">
        <v>0.149966085140196359</v>
      </c>
      <c r="U67" s="294" t="n">
        <v>0.0151473850063880171</v>
      </c>
      <c r="V67" s="294" t="n">
        <v>-0.0127960646910907028</v>
      </c>
      <c r="W67" s="294" t="n">
        <v>0.0360156138189998476</v>
      </c>
      <c r="X67" s="294" t="n">
        <v>0.15059167628720294</v>
      </c>
      <c r="Y67" s="294" t="n">
        <v>0.0989941219202237654</v>
      </c>
      <c r="Z67" s="294" t="n">
        <v>0.0989941219202237122</v>
      </c>
    </row>
    <row r="68" spans="1:26">
      <c r="A68" t="s">
        <v>515</v>
      </c>
      <c r="B68" t="n">
        <v>70</v>
      </c>
      <c r="C68" s="294" t="n">
        <v>0.00863193548387095078</v>
      </c>
      <c r="D68" s="294" t="n">
        <v>0.110927405183991068</v>
      </c>
      <c r="E68" s="294" t="n">
        <v>0.145881723298091242</v>
      </c>
      <c r="F68" s="294" t="n">
        <v>0.476609551346289528</v>
      </c>
      <c r="G68" s="333" t="n">
        <v>0.72607338801137411</v>
      </c>
      <c r="H68" s="333" t="n">
        <v>0.849533866666666704</v>
      </c>
      <c r="I68" s="294" t="n">
        <v>0.0672563204266666759</v>
      </c>
      <c r="J68" s="294" t="n">
        <v>0.508497823456289844</v>
      </c>
      <c r="K68" s="294" t="n">
        <v>0.0391000000000000014</v>
      </c>
      <c r="L68" s="294" t="n">
        <v>0.228311386015578233</v>
      </c>
      <c r="M68" s="294" t="n">
        <v>0.0586854378385854858</v>
      </c>
      <c r="N68" s="333" t="n">
        <v>1.46132035798309001</v>
      </c>
      <c r="O68" s="333" t="n">
        <v>2.01757627468270062</v>
      </c>
      <c r="P68" s="333" t="n">
        <v>11.6789953672610238</v>
      </c>
      <c r="Q68" s="333" t="n">
        <v>18.3936472652238798</v>
      </c>
      <c r="R68" s="333" t="n">
        <v>4.11814102812398808</v>
      </c>
      <c r="S68" s="333" t="n">
        <v>21.9353513484977647</v>
      </c>
      <c r="T68" s="294" t="n">
        <v>0.199273367850997207</v>
      </c>
      <c r="U68" s="294" t="n">
        <v>0.0485322822426236034</v>
      </c>
      <c r="V68" s="294" t="n">
        <v>0.0389704747520284158</v>
      </c>
      <c r="W68" s="294" t="n">
        <v>0.503897277855566195</v>
      </c>
      <c r="X68" s="294" t="n">
        <v>0.0526049518200039312</v>
      </c>
      <c r="Y68" s="294" t="n">
        <v>2.00827999671774471</v>
      </c>
      <c r="Z68" s="294" t="n">
        <v>2.00827999671774471</v>
      </c>
    </row>
    <row r="69" spans="1:26">
      <c r="A69" t="s">
        <v>516</v>
      </c>
      <c r="B69" t="n">
        <v>3</v>
      </c>
      <c r="C69" s="294" t="n">
        <v>-0.0286999999999999957</v>
      </c>
      <c r="D69" s="294" t="n">
        <v>0.0730553186871416038</v>
      </c>
      <c r="E69" s="294" t="n">
        <v>0.0597395746039049236</v>
      </c>
      <c r="F69" s="294" t="n">
        <v>0.28523045206891485</v>
      </c>
      <c r="G69" s="333" t="n">
        <v>0.467210278610754504</v>
      </c>
      <c r="H69" s="333" t="n">
        <v>0.52152800000000008</v>
      </c>
      <c r="I69" s="294" t="n">
        <v>0.0505936224000000045</v>
      </c>
      <c r="J69" s="294" t="n">
        <v>0.189911914183990689</v>
      </c>
      <c r="K69" s="294" t="n">
        <v>0.0310999999999999988</v>
      </c>
      <c r="L69" s="294" t="n">
        <v>0.217077387688389623</v>
      </c>
      <c r="M69" s="294" t="n">
        <v>0.04474173215111799</v>
      </c>
      <c r="N69" s="333" t="n">
        <v>0.917939083320788818</v>
      </c>
      <c r="O69" s="333" t="n">
        <v>1.22942722824606876</v>
      </c>
      <c r="P69" s="333" t="n">
        <v>14.2502642582214154</v>
      </c>
      <c r="Q69" s="333" t="n">
        <v>16.7223448602370759</v>
      </c>
      <c r="R69" s="333" t="n">
        <v>1.13233919768229718</v>
      </c>
      <c r="S69" s="333" t="n">
        <v>486.85531898448005</v>
      </c>
      <c r="T69" s="294" t="n">
        <v>0.0387149584927608004</v>
      </c>
      <c r="U69" s="294" t="n">
        <v>0.00446549500378317621</v>
      </c>
      <c r="V69" s="294" t="n">
        <v>0.00384763894760367577</v>
      </c>
      <c r="W69" s="294" t="n">
        <v>0.798843684679107824</v>
      </c>
      <c r="X69" s="294" t="n">
        <v>0.0604727450531358457</v>
      </c>
      <c r="Y69" s="294" t="n">
        <v>0.114017849832146068</v>
      </c>
      <c r="Z69" s="294" t="n">
        <v>0.114017849832146001</v>
      </c>
    </row>
    <row r="70" spans="1:26">
      <c r="A70" t="s">
        <v>517</v>
      </c>
      <c r="B70" t="n">
        <v>81</v>
      </c>
      <c r="C70" s="294" t="n">
        <v>0.141141249999999996</v>
      </c>
      <c r="D70" s="294" t="n">
        <v>0.145453754083746611</v>
      </c>
      <c r="E70" s="294" t="n">
        <v>0.170087146999997056</v>
      </c>
      <c r="F70" s="294" t="n">
        <v>0.311233774805390651</v>
      </c>
      <c r="G70" s="333" t="n">
        <v>0.695790898370833766</v>
      </c>
      <c r="H70" s="333" t="n">
        <v>0.850120960000000103</v>
      </c>
      <c r="I70" s="294" t="n">
        <v>0.067286144767999998</v>
      </c>
      <c r="J70" s="294" t="n">
        <v>0.484064077840068752</v>
      </c>
      <c r="K70" s="294" t="n">
        <v>0.0391000000000000014</v>
      </c>
      <c r="L70" s="294" t="n">
        <v>0.24361248835730831</v>
      </c>
      <c r="M70" s="294" t="n">
        <v>0.0581335883131232212</v>
      </c>
      <c r="N70" s="333" t="n">
        <v>1.37557395837468954</v>
      </c>
      <c r="O70" s="333" t="n">
        <v>3.54121852418973315</v>
      </c>
      <c r="P70" s="333" t="n">
        <v>13.8385696735706727</v>
      </c>
      <c r="Q70" s="333" t="n">
        <v>24.3173500930263664</v>
      </c>
      <c r="R70" s="333" t="n">
        <v>77.3948747648721991</v>
      </c>
      <c r="S70" s="333" t="n">
        <v>49.4633068166068739</v>
      </c>
      <c r="T70" s="294" t="n">
        <v>0.00971569048512307276</v>
      </c>
      <c r="U70" s="294" t="n">
        <v>0.0599760250412636253</v>
      </c>
      <c r="V70" s="294" t="n">
        <v>0.0228113509493331446</v>
      </c>
      <c r="W70" s="294" t="n">
        <v>0.247045317875917281</v>
      </c>
      <c r="X70" s="294" t="n">
        <v>0.956695076973566749</v>
      </c>
      <c r="Y70" s="294" t="n">
        <v>0.511180547257052709</v>
      </c>
      <c r="Z70" s="294" t="n">
        <v>0.511180547257052709</v>
      </c>
    </row>
    <row r="71" spans="1:26">
      <c r="A71" t="s">
        <v>518</v>
      </c>
      <c r="B71" t="n">
        <v>25</v>
      </c>
      <c r="C71" s="294" t="n">
        <v>0.0994266666666666588</v>
      </c>
      <c r="D71" s="294" t="n">
        <v>0.0539085994300810967</v>
      </c>
      <c r="E71" s="294" t="n">
        <v>0.1037815523972625</v>
      </c>
      <c r="F71" s="294" t="n">
        <v>0.34171994484141921</v>
      </c>
      <c r="G71" s="333" t="n">
        <v>0.647281684987389738</v>
      </c>
      <c r="H71" s="333" t="n">
        <v>1.01085333333333383</v>
      </c>
      <c r="I71" s="294" t="n">
        <v>0.0754513493333333596</v>
      </c>
      <c r="J71" s="294" t="n">
        <v>0.426229249602570981</v>
      </c>
      <c r="K71" s="294" t="n">
        <v>0.0391000000000000014</v>
      </c>
      <c r="L71" s="294" t="n">
        <v>0.431689833254756739</v>
      </c>
      <c r="M71" s="294" t="n">
        <v>0.0557078640057786423</v>
      </c>
      <c r="N71" s="333" t="n">
        <v>2.37781627052116873</v>
      </c>
      <c r="O71" s="333" t="n">
        <v>0.948625326476119568</v>
      </c>
      <c r="P71" s="333" t="n">
        <v>10.9976430748592637</v>
      </c>
      <c r="Q71" s="333" t="n">
        <v>17.5352646682002025</v>
      </c>
      <c r="R71" s="333" t="n">
        <v>5.22139117273182585</v>
      </c>
      <c r="S71" s="333" t="n">
        <v>16.0916300031801356</v>
      </c>
      <c r="T71" s="294" t="n">
        <v>0.129894857493674131</v>
      </c>
      <c r="U71" s="294" t="n">
        <v>0.0205723184879144139</v>
      </c>
      <c r="V71" s="294" t="n">
        <v>0.0215358515582825216</v>
      </c>
      <c r="W71" s="294" t="n">
        <v>0.820358996445018818</v>
      </c>
      <c r="X71" s="294" t="n">
        <v>0.342582490904907955</v>
      </c>
      <c r="Y71" s="294" t="n">
        <v>0.0459457252399260252</v>
      </c>
      <c r="Z71" s="294" t="n">
        <v>0.0459457252399260163</v>
      </c>
    </row>
    <row r="72" spans="1:26">
      <c r="A72" t="s">
        <v>519</v>
      </c>
      <c r="B72" t="n">
        <v>8</v>
      </c>
      <c r="C72" s="294" t="n">
        <v>0.0540800000000000036</v>
      </c>
      <c r="D72" s="294" t="n">
        <v>0.116301493791239863</v>
      </c>
      <c r="E72" s="294" t="n">
        <v>0.303000468761641928</v>
      </c>
      <c r="F72" s="294" t="n">
        <v>0.362879300473637656</v>
      </c>
      <c r="G72" s="333" t="n">
        <v>0.763377250146284503</v>
      </c>
      <c r="H72" s="333" t="n">
        <v>0.85650742857142852</v>
      </c>
      <c r="I72" s="294" t="n">
        <v>0.0676105773714285618</v>
      </c>
      <c r="J72" s="294" t="n">
        <v>0.534448340979326719</v>
      </c>
      <c r="K72" s="294" t="n">
        <v>0.0391000000000000014</v>
      </c>
      <c r="L72" s="294" t="n">
        <v>0.151528031558027969</v>
      </c>
      <c r="M72" s="294" t="n">
        <v>0.0618684866556125979</v>
      </c>
      <c r="N72" s="333" t="n">
        <v>3.07801624279571451</v>
      </c>
      <c r="O72" s="333" t="n">
        <v>2.05474361143085371</v>
      </c>
      <c r="P72" s="333" t="n">
        <v>13.5190667790895827</v>
      </c>
      <c r="Q72" s="333" t="n">
        <v>17.663876248838605</v>
      </c>
      <c r="R72" s="333" t="n">
        <v>32.9807264608368271</v>
      </c>
      <c r="S72" s="333" t="n">
        <v>34.8454430844306131</v>
      </c>
      <c r="T72" s="294" t="n">
        <v>0.0598619480002859738</v>
      </c>
      <c r="U72" s="294" t="n">
        <v>0.0180135096035241595</v>
      </c>
      <c r="V72" s="294" t="n">
        <v>0.00358456752478473684</v>
      </c>
      <c r="W72" s="294" t="n">
        <v>0.0345791063211635175</v>
      </c>
      <c r="X72" s="294" t="n">
        <v>0.912599116773040819</v>
      </c>
      <c r="Y72" s="294" t="n">
        <v>0.436366766740915324</v>
      </c>
      <c r="Z72" s="294" t="n">
        <v>0.436366766740915146</v>
      </c>
    </row>
    <row r="73" spans="1:26">
      <c r="A73" t="s">
        <v>520</v>
      </c>
      <c r="B73" t="n">
        <v>92</v>
      </c>
      <c r="C73" s="294" t="n">
        <v>0.0645555555555555305</v>
      </c>
      <c r="D73" s="294" t="n">
        <v>0.0797093252493766702</v>
      </c>
      <c r="E73" s="294" t="n">
        <v>0.131825205086867481</v>
      </c>
      <c r="F73" s="294" t="n">
        <v>0.34219407989955446</v>
      </c>
      <c r="G73" s="333" t="n">
        <v>0.871235187421097734</v>
      </c>
      <c r="H73" s="333" t="n">
        <v>1.14873568421052608</v>
      </c>
      <c r="I73" s="294" t="n">
        <v>0.0824557727578947031</v>
      </c>
      <c r="J73" s="294" t="n">
        <v>0.492392231504204769</v>
      </c>
      <c r="K73" s="294" t="n">
        <v>0.0391000000000000014</v>
      </c>
      <c r="L73" s="294" t="n">
        <v>0.313083978816129527</v>
      </c>
      <c r="M73" s="294" t="n">
        <v>0.0659437948609945401</v>
      </c>
      <c r="N73" s="333" t="n">
        <v>1.92748168967105986</v>
      </c>
      <c r="O73" s="333" t="n">
        <v>1.36397812841987931</v>
      </c>
      <c r="P73" s="333" t="n">
        <v>13.4808136501367919</v>
      </c>
      <c r="Q73" s="333" t="n">
        <v>17.0605406304816825</v>
      </c>
      <c r="R73" s="333" t="n">
        <v>3.46802689921365648</v>
      </c>
      <c r="S73" s="333" t="n">
        <v>111.5648952929388</v>
      </c>
      <c r="T73" s="294" t="n">
        <v>0.171576130429084834</v>
      </c>
      <c r="U73" s="294" t="n">
        <v>0.0433624080511876198</v>
      </c>
      <c r="V73" s="294" t="n">
        <v>0.0524861578860923217</v>
      </c>
      <c r="W73" s="294" t="n">
        <v>1.11027979494485263</v>
      </c>
      <c r="X73" s="294" t="n">
        <v>0.160512950223363893</v>
      </c>
      <c r="Y73" s="294" t="n">
        <v>0.302080345615732826</v>
      </c>
      <c r="Z73" s="294" t="n">
        <v>0.302080345615732826</v>
      </c>
    </row>
    <row r="74" spans="1:26">
      <c r="A74" t="s">
        <v>34</v>
      </c>
      <c r="B74" t="n">
        <v>18</v>
      </c>
      <c r="C74" s="294" t="n">
        <v>0.020755625000000002</v>
      </c>
      <c r="D74" s="294" t="n">
        <v>0.0420773842407521403</v>
      </c>
      <c r="E74" s="294" t="n">
        <v>0.119029963471071042</v>
      </c>
      <c r="F74" s="294" t="n">
        <v>0.32784350652309282</v>
      </c>
      <c r="G74" s="333" t="n">
        <v>0.874300452573619502</v>
      </c>
      <c r="H74" s="333" t="n">
        <v>1.05008755555555555</v>
      </c>
      <c r="I74" s="294" t="n">
        <v>0.0774444478222222088</v>
      </c>
      <c r="J74" s="294" t="n">
        <v>0.499397698378043575</v>
      </c>
      <c r="K74" s="294" t="n">
        <v>0.0391000000000000014</v>
      </c>
      <c r="L74" s="294" t="n">
        <v>0.237512990827028947</v>
      </c>
      <c r="M74" s="294" t="n">
        <v>0.0661083214324344492</v>
      </c>
      <c r="N74" s="333" t="n">
        <v>3.67189921606202541</v>
      </c>
      <c r="O74" s="333" t="n">
        <v>0.742047539284492164</v>
      </c>
      <c r="P74" s="333" t="n">
        <v>9.46584218721388559</v>
      </c>
      <c r="Q74" s="333" t="n">
        <v>17.4204047176440824</v>
      </c>
      <c r="R74" s="333" t="n">
        <v>3.99710427141490889</v>
      </c>
      <c r="S74" s="333" t="n">
        <v>21.018223637806333</v>
      </c>
      <c r="T74" s="294" t="n">
        <v>0.0223861388731782096</v>
      </c>
      <c r="U74" s="294" t="n">
        <v>0.0226980171400373587</v>
      </c>
      <c r="V74" s="294" t="n">
        <v>0.000415775527889828123</v>
      </c>
      <c r="W74" s="294" t="n">
        <v>-0.229211664823416372</v>
      </c>
      <c r="X74" s="294" t="n">
        <v>0.160954876257331065</v>
      </c>
      <c r="Y74" s="294" t="n">
        <v>0.495268245015341346</v>
      </c>
      <c r="Z74" s="294" t="n">
        <v>0.495268245015341346</v>
      </c>
    </row>
    <row r="75" spans="1:26">
      <c r="A75" t="s">
        <v>521</v>
      </c>
      <c r="B75" t="n">
        <v>14</v>
      </c>
      <c r="C75" s="294" t="n">
        <v>0.0539000000000000057</v>
      </c>
      <c r="D75" s="294" t="n">
        <v>0.023320671042961223</v>
      </c>
      <c r="E75" s="294" t="n">
        <v>0.0874763075163400572</v>
      </c>
      <c r="F75" s="294" t="n">
        <v>0.337523505900014076</v>
      </c>
      <c r="G75" s="333" t="n">
        <v>0.438960321676783138</v>
      </c>
      <c r="H75" s="333" t="n">
        <v>0.706575384615384472</v>
      </c>
      <c r="I75" s="294" t="n">
        <v>0.0599940295384615485</v>
      </c>
      <c r="J75" s="294" t="n">
        <v>0.457266091795788565</v>
      </c>
      <c r="K75" s="294" t="n">
        <v>0.0391000000000000014</v>
      </c>
      <c r="L75" s="294" t="n">
        <v>0.455579881684121268</v>
      </c>
      <c r="M75" s="294" t="n">
        <v>0.0461999684237008967</v>
      </c>
      <c r="N75" s="333" t="n">
        <v>4.75038712214985637</v>
      </c>
      <c r="O75" s="333" t="n">
        <v>0.405074387409888015</v>
      </c>
      <c r="P75" s="333" t="n">
        <v>7.15840574474133273</v>
      </c>
      <c r="Q75" s="333" t="n">
        <v>17.3692524599611531</v>
      </c>
      <c r="R75" s="333" t="n">
        <v>3.30122710244262141</v>
      </c>
      <c r="S75" s="333" t="n">
        <v>40.7212251136096697</v>
      </c>
      <c r="T75" s="294" t="n">
        <v>0.00655420783544053798</v>
      </c>
      <c r="U75" s="294" t="n">
        <v>0.0262284511733356096</v>
      </c>
      <c r="V75" s="294" t="n">
        <v>0.00728688634376620126</v>
      </c>
      <c r="W75" s="294" t="n">
        <v>0.461418353226796185</v>
      </c>
      <c r="X75" s="294" t="n">
        <v>0.244317428384158708</v>
      </c>
      <c r="Y75" s="294" t="n">
        <v>0.210218516845743286</v>
      </c>
      <c r="Z75" s="294" t="n">
        <v>0.210218516845743331</v>
      </c>
    </row>
    <row r="76" spans="1:26">
      <c r="A76" t="s">
        <v>522</v>
      </c>
      <c r="B76" t="n">
        <v>61</v>
      </c>
      <c r="C76" s="294" t="n">
        <v>0.101600454545454544</v>
      </c>
      <c r="D76" s="294" t="n">
        <v>0.041416028546849315</v>
      </c>
      <c r="E76" s="294" t="n">
        <v>0.133964983789060899</v>
      </c>
      <c r="F76" s="294" t="n">
        <v>0.233098100935983998</v>
      </c>
      <c r="G76" s="333" t="n">
        <v>1.12365980770167195</v>
      </c>
      <c r="H76" s="333" t="n">
        <v>1.1818858867924531</v>
      </c>
      <c r="I76" s="294" t="n">
        <v>0.0841398030490566384</v>
      </c>
      <c r="J76" s="294" t="n">
        <v>0.60635345709831352</v>
      </c>
      <c r="K76" s="294" t="n">
        <v>0.0391000000000000014</v>
      </c>
      <c r="L76" s="294" t="n">
        <v>0.102446236279052405</v>
      </c>
      <c r="M76" s="294" t="n">
        <v>0.0785642892626883516</v>
      </c>
      <c r="N76" s="333" t="n">
        <v>3.47322264553335147</v>
      </c>
      <c r="O76" s="333" t="n">
        <v>3.57698260939824397</v>
      </c>
      <c r="P76" s="333" t="n">
        <v>32.4700968605117311</v>
      </c>
      <c r="Q76" s="333" t="n">
        <v>93.5275270613291241</v>
      </c>
      <c r="R76" s="333" t="n">
        <v>9.37269171786654454</v>
      </c>
      <c r="S76" s="333" t="n">
        <v>64.8703813761128885</v>
      </c>
      <c r="T76" s="294" t="n">
        <v>-0.00432218155913994728</v>
      </c>
      <c r="U76" s="294" t="n">
        <v>0.0491812888681907534</v>
      </c>
      <c r="V76" s="294" t="n">
        <v>0.0484879026960585957</v>
      </c>
      <c r="W76" s="294" t="n">
        <v>1.58750792668654261</v>
      </c>
      <c r="X76" s="294" t="n">
        <v>0.187178749180432078</v>
      </c>
      <c r="Y76" s="294" t="n">
        <v>0.0646377247635414598</v>
      </c>
      <c r="Z76" s="294" t="n">
        <v>0.0646377247635414509</v>
      </c>
    </row>
    <row r="77" spans="1:26">
      <c r="A77" t="s">
        <v>523</v>
      </c>
      <c r="B77" t="n">
        <v>106</v>
      </c>
      <c r="C77" s="294" t="n">
        <v>0.0489838028169014095</v>
      </c>
      <c r="D77" s="294" t="n">
        <v>0.0582486286071444059</v>
      </c>
      <c r="E77" s="294" t="n">
        <v>0.116917044332648201</v>
      </c>
      <c r="F77" s="294" t="n">
        <v>0.329501691508444061</v>
      </c>
      <c r="G77" s="333" t="n">
        <v>0.820095897462053891</v>
      </c>
      <c r="H77" s="333" t="n">
        <v>1.11113642105263222</v>
      </c>
      <c r="I77" s="294" t="n">
        <v>0.0805457301894737121</v>
      </c>
      <c r="J77" s="294" t="n">
        <v>0.596789483507891294</v>
      </c>
      <c r="K77" s="294" t="n">
        <v>0.0391000000000000014</v>
      </c>
      <c r="L77" s="294" t="n">
        <v>0.346392796377410539</v>
      </c>
      <c r="M77" s="294" t="n">
        <v>0.0629386778100326083</v>
      </c>
      <c r="N77" s="333" t="n">
        <v>2.57335496307126776</v>
      </c>
      <c r="O77" s="333" t="n">
        <v>0.942258832040583094</v>
      </c>
      <c r="P77" s="333" t="n">
        <v>7.9118761806056499</v>
      </c>
      <c r="Q77" s="333" t="n">
        <v>16.1648333540163556</v>
      </c>
      <c r="R77" s="333" t="n">
        <v>3.43406548647057219</v>
      </c>
      <c r="S77" s="333" t="n">
        <v>34.9831242546005683</v>
      </c>
      <c r="T77" s="294" t="n">
        <v>0.070036952836220534</v>
      </c>
      <c r="U77" s="294" t="n">
        <v>0.0208034021894307042</v>
      </c>
      <c r="V77" s="294" t="n">
        <v>0.00380180741273316158</v>
      </c>
      <c r="W77" s="294" t="n">
        <v>-0.0360040875717786379</v>
      </c>
      <c r="X77" s="294" t="n">
        <v>0.165878315129880027</v>
      </c>
      <c r="Y77" s="294" t="n">
        <v>0.400151064828309622</v>
      </c>
      <c r="Z77" s="294" t="n">
        <v>0.400151064828309622</v>
      </c>
    </row>
    <row r="78" spans="1:26">
      <c r="A78" t="s">
        <v>524</v>
      </c>
      <c r="B78" t="n">
        <v>4</v>
      </c>
      <c r="C78" s="294" t="n">
        <v>-0.0646500000000000075</v>
      </c>
      <c r="D78" s="294" t="n">
        <v>0.10333491527683083</v>
      </c>
      <c r="E78" s="294" t="n">
        <v>0.139575924407427387</v>
      </c>
      <c r="F78" s="294" t="n">
        <v>0.0787688228917708511</v>
      </c>
      <c r="G78" s="333" t="n">
        <v>0.637263604283369034</v>
      </c>
      <c r="H78" s="333" t="n">
        <v>0.952824000000000026</v>
      </c>
      <c r="I78" s="294" t="n">
        <v>0.0725034591999999911</v>
      </c>
      <c r="J78" s="294" t="n">
        <v>0.562361128199037363</v>
      </c>
      <c r="K78" s="294" t="n">
        <v>0.0391000000000000014</v>
      </c>
      <c r="L78" s="294" t="n">
        <v>0.438174773438156873</v>
      </c>
      <c r="M78" s="294" t="n">
        <v>0.053755073959045605</v>
      </c>
      <c r="N78" s="333" t="n">
        <v>1.46641887393004637</v>
      </c>
      <c r="O78" s="333" t="n">
        <v>0.924479061356170462</v>
      </c>
      <c r="P78" s="333" t="n">
        <v>5.59619280149831155</v>
      </c>
      <c r="Q78" s="333" t="n">
        <v>8.86572130893461718</v>
      </c>
      <c r="R78" s="333" t="n">
        <v>1.55307207955674116</v>
      </c>
      <c r="S78" s="333" t="n">
        <v>77.73175522570358</v>
      </c>
      <c r="T78" s="294" t="n">
        <v>0.159913756173983064</v>
      </c>
      <c r="U78" s="294" t="n">
        <v>0.0645597514717974441</v>
      </c>
      <c r="V78" s="294" t="n">
        <v>0.0171634115213562115</v>
      </c>
      <c r="W78" s="294" t="n">
        <v>0.401441973436502053</v>
      </c>
      <c r="X78" s="294" t="n">
        <v>0.214377299908003671</v>
      </c>
      <c r="Y78" s="294" t="n">
        <v>0.103176252866472629</v>
      </c>
      <c r="Z78" s="294" t="n">
        <v>0.103176252866472673</v>
      </c>
    </row>
    <row r="79" spans="1:26">
      <c r="A79" t="s">
        <v>525</v>
      </c>
      <c r="B79" t="n">
        <v>72</v>
      </c>
      <c r="C79" s="294" t="n">
        <v>0.0872385714285713831</v>
      </c>
      <c r="D79" s="294" t="n">
        <v>0.260685171434629037</v>
      </c>
      <c r="E79" s="294" t="n">
        <v>0.161285293461935231</v>
      </c>
      <c r="F79" s="294" t="n">
        <v>0.188973035446976727</v>
      </c>
      <c r="G79" s="333" t="n">
        <v>1.15676116746733149</v>
      </c>
      <c r="H79" s="333" t="n">
        <v>1.17248847761193997</v>
      </c>
      <c r="I79" s="294" t="n">
        <v>0.0836624146626865617</v>
      </c>
      <c r="J79" s="294" t="n">
        <v>0.52676201419733033</v>
      </c>
      <c r="K79" s="294" t="n">
        <v>0.0391000000000000014</v>
      </c>
      <c r="L79" s="294" t="n">
        <v>0.115805133699067553</v>
      </c>
      <c r="M79" s="294" t="n">
        <v>0.077415142900088787</v>
      </c>
      <c r="N79" s="333" t="n">
        <v>0.670423596749746054</v>
      </c>
      <c r="O79" s="333" t="n">
        <v>4.35196747396732331</v>
      </c>
      <c r="P79" s="333" t="n">
        <v>11.8201982782734749</v>
      </c>
      <c r="Q79" s="333" t="n">
        <v>17.0489734658717182</v>
      </c>
      <c r="R79" s="333" t="n">
        <v>3.94000286399293298</v>
      </c>
      <c r="S79" s="333" t="n">
        <v>43.795695283687806</v>
      </c>
      <c r="T79" s="294" t="n">
        <v>0.178085533420630915</v>
      </c>
      <c r="U79" s="294" t="n">
        <v>0.114266717826979836</v>
      </c>
      <c r="V79" s="294" t="n">
        <v>0.235482390996177404</v>
      </c>
      <c r="W79" s="294" t="n">
        <v>1.31181598899735197</v>
      </c>
      <c r="X79" s="294" t="n">
        <v>0.19872114143616102</v>
      </c>
      <c r="Y79" s="294" t="n">
        <v>0.374820915052006765</v>
      </c>
      <c r="Z79" s="294" t="n">
        <v>0.374820915052006765</v>
      </c>
    </row>
    <row r="80" spans="1:26">
      <c r="A80" t="s">
        <v>526</v>
      </c>
      <c r="B80" t="n">
        <v>45</v>
      </c>
      <c r="C80" s="294" t="n">
        <v>0.054011612903225803</v>
      </c>
      <c r="D80" s="294" t="n">
        <v>0.236587495728277464</v>
      </c>
      <c r="E80" s="294" t="n">
        <v>0.290562772296548886</v>
      </c>
      <c r="F80" s="294" t="n">
        <v>0.116692004562895368</v>
      </c>
      <c r="G80" s="333" t="n">
        <v>0.985195472596961963</v>
      </c>
      <c r="H80" s="333" t="n">
        <v>0.981939999999999991</v>
      </c>
      <c r="I80" s="294" t="n">
        <v>0.0739825519999999948</v>
      </c>
      <c r="J80" s="294" t="n">
        <v>0.61043147021180042</v>
      </c>
      <c r="K80" s="294" t="n">
        <v>0.0391000000000000014</v>
      </c>
      <c r="L80" s="294" t="n">
        <v>0.103418651425421793</v>
      </c>
      <c r="M80" s="294" t="n">
        <v>0.0694045648889066857</v>
      </c>
      <c r="N80" s="333" t="n">
        <v>1.33650855294412296</v>
      </c>
      <c r="O80" s="333" t="n">
        <v>3.22737955191829107</v>
      </c>
      <c r="P80" s="333" t="n">
        <v>11.6618398311265157</v>
      </c>
      <c r="Q80" s="333" t="n">
        <v>14.3013109613063527</v>
      </c>
      <c r="R80" s="333" t="n">
        <v>4.4997531793615364</v>
      </c>
      <c r="S80" s="333" t="n">
        <v>23.711714407370085</v>
      </c>
      <c r="T80" s="294" t="n">
        <v>0.231046865357908793</v>
      </c>
      <c r="U80" s="294" t="n">
        <v>0.0375737006640860027</v>
      </c>
      <c r="V80" s="294" t="n">
        <v>0.0456986904593357757</v>
      </c>
      <c r="W80" s="294" t="n">
        <v>0.419485205518758431</v>
      </c>
      <c r="X80" s="294" t="n">
        <v>0.336284802362031687</v>
      </c>
      <c r="Y80" s="294" t="n">
        <v>0.149347466329912049</v>
      </c>
      <c r="Z80" s="294" t="n">
        <v>0.149347466329912137</v>
      </c>
    </row>
    <row r="81" spans="1:26">
      <c r="A81" t="s">
        <v>527</v>
      </c>
      <c r="B81" t="n">
        <v>9</v>
      </c>
      <c r="C81" s="294" t="n">
        <v>-0.0443666666666666654</v>
      </c>
      <c r="D81" s="294" t="n">
        <v>0.0740035317771010703</v>
      </c>
      <c r="E81" s="294" t="n">
        <v>0.0487680409727956743</v>
      </c>
      <c r="F81" s="294" t="n">
        <v>0.364570589674578027</v>
      </c>
      <c r="G81" s="333" t="n">
        <v>1.0134798161115921</v>
      </c>
      <c r="H81" s="333" t="n">
        <v>1.34060533333333343</v>
      </c>
      <c r="I81" s="294" t="n">
        <v>0.0922027509333333128</v>
      </c>
      <c r="J81" s="294" t="n">
        <v>0.943989442254826372</v>
      </c>
      <c r="K81" s="294" t="n">
        <v>0.0816000000000000014</v>
      </c>
      <c r="L81" s="294" t="n">
        <v>0.319512511687435508</v>
      </c>
      <c r="M81" s="294" t="n">
        <v>0.0825577063229409625</v>
      </c>
      <c r="N81" s="333" t="n">
        <v>0.718739752877454485</v>
      </c>
      <c r="O81" s="333" t="n">
        <v>2.28501279838983207</v>
      </c>
      <c r="P81" s="333" t="n">
        <v>10.6981727192382703</v>
      </c>
      <c r="Q81" s="333" t="n">
        <v>26.3113959485974398</v>
      </c>
      <c r="R81" s="333" t="n">
        <v>1.46804150809141509</v>
      </c>
      <c r="S81" s="333" t="n">
        <v>24.785129905464391</v>
      </c>
      <c r="T81" s="294" t="n">
        <v>0.222111668709239618</v>
      </c>
      <c r="U81" s="294" t="n">
        <v>0.155665687825084369</v>
      </c>
      <c r="V81" s="294" t="n">
        <v>0.159482634284400344</v>
      </c>
      <c r="W81" s="294" t="n">
        <v>3.83612231889545985</v>
      </c>
      <c r="X81" s="294" t="n">
        <v>-0.0187639612807148062</v>
      </c>
      <c r="Y81" s="294" t="n">
        <v>0.000991686460807600412</v>
      </c>
      <c r="Z81" s="294" t="n">
        <v>0.000991686460807606096</v>
      </c>
    </row>
    <row r="82" spans="1:26">
      <c r="A82" t="s">
        <v>528</v>
      </c>
      <c r="B82" t="n">
        <v>11</v>
      </c>
      <c r="C82" s="294" t="n">
        <v>0.0664250000000000007</v>
      </c>
      <c r="D82" s="294" t="n">
        <v>0.113744068673431875</v>
      </c>
      <c r="E82" s="294" t="n">
        <v>0.204040019195027611</v>
      </c>
      <c r="F82" s="294" t="n">
        <v>0.139010174926999209</v>
      </c>
      <c r="G82" s="333" t="n">
        <v>0.860651858482026988</v>
      </c>
      <c r="H82" s="333" t="n">
        <v>0.88091600000000021</v>
      </c>
      <c r="I82" s="294" t="n">
        <v>0.0688505328000000194</v>
      </c>
      <c r="J82" s="294" t="n">
        <v>0.443940771804250911</v>
      </c>
      <c r="K82" s="294" t="n">
        <v>0.0391000000000000014</v>
      </c>
      <c r="L82" s="294" t="n">
        <v>0.088039818676146524</v>
      </c>
      <c r="M82" s="294" t="n">
        <v>0.0654051356283122942</v>
      </c>
      <c r="N82" s="333" t="n">
        <v>2.15525515571131265</v>
      </c>
      <c r="O82" s="333" t="n">
        <v>2.67581168502510724</v>
      </c>
      <c r="P82" s="333" t="n">
        <v>16.7933543983630216</v>
      </c>
      <c r="Q82" s="333" t="n">
        <v>23.5004998078510923</v>
      </c>
      <c r="R82" s="333" t="n">
        <v>6.8455617107454243</v>
      </c>
      <c r="S82" s="333" t="n">
        <v>35.8768910935938052</v>
      </c>
      <c r="T82" s="294" t="n">
        <v>0.201911470127155557</v>
      </c>
      <c r="U82" s="294" t="n">
        <v>0.00523362654589792786</v>
      </c>
      <c r="V82" s="294" t="n">
        <v>-0.0150698441038146713</v>
      </c>
      <c r="W82" s="294" t="n">
        <v>-0.156194634666007781</v>
      </c>
      <c r="X82" s="294" t="n">
        <v>0.253213370612833444</v>
      </c>
      <c r="Y82" s="294" t="n">
        <v>0.284937442177561238</v>
      </c>
      <c r="Z82" s="294" t="n">
        <v>0.284937442177561238</v>
      </c>
    </row>
    <row r="83" spans="1:26">
      <c r="A83" t="s">
        <v>529</v>
      </c>
      <c r="B83" t="n">
        <v>13</v>
      </c>
      <c r="C83" s="294" t="n">
        <v>0.0295799999999999876</v>
      </c>
      <c r="D83" s="294" t="n">
        <v>0.220534671523628489</v>
      </c>
      <c r="E83" s="294" t="n">
        <v>0.277940435003153752</v>
      </c>
      <c r="F83" s="294" t="n">
        <v>0.13927641261101491</v>
      </c>
      <c r="G83" s="333" t="n">
        <v>0.911016275352236526</v>
      </c>
      <c r="H83" s="333" t="n">
        <v>0.891029818181818278</v>
      </c>
      <c r="I83" s="294" t="n">
        <v>0.0693643147636363544</v>
      </c>
      <c r="J83" s="294" t="n">
        <v>0.496143754308244844</v>
      </c>
      <c r="K83" s="294" t="n">
        <v>0.0391000000000000014</v>
      </c>
      <c r="L83" s="294" t="n">
        <v>0.0605929273964809578</v>
      </c>
      <c r="M83" s="294" t="n">
        <v>0.0669619073057705538</v>
      </c>
      <c r="N83" s="333" t="n">
        <v>1.28687065849986904</v>
      </c>
      <c r="O83" s="333" t="n">
        <v>6.3896843609700209</v>
      </c>
      <c r="P83" s="333" t="n">
        <v>21.9725417534642631</v>
      </c>
      <c r="Q83" s="333" t="n">
        <v>30.0983095778794869</v>
      </c>
      <c r="R83" s="333" t="n">
        <v>5.52985373746077524</v>
      </c>
      <c r="S83" s="333" t="n">
        <v>42.6527407277602322</v>
      </c>
      <c r="T83" s="294" t="n">
        <v>0.207257879472683015</v>
      </c>
      <c r="U83" s="294" t="n">
        <v>0.0222783702371645909</v>
      </c>
      <c r="V83" s="294" t="n">
        <v>-0.00667477314749351081</v>
      </c>
      <c r="W83" s="294" t="n">
        <v>0.0857103717459203907</v>
      </c>
      <c r="X83" s="294" t="n">
        <v>0.163341662390689679</v>
      </c>
      <c r="Y83" s="294" t="n">
        <v>0.0956615202996670178</v>
      </c>
      <c r="Z83" s="294" t="n">
        <v>0.0956615202996670178</v>
      </c>
    </row>
    <row r="84" spans="1:26">
      <c r="A84" t="s">
        <v>530</v>
      </c>
      <c r="B84" t="n">
        <v>305</v>
      </c>
      <c r="C84" s="294" t="n">
        <v>0.197171785714285708</v>
      </c>
      <c r="D84" s="294" t="n">
        <v>0.260394717250998387</v>
      </c>
      <c r="E84" s="294" t="n">
        <v>0.166346933300545956</v>
      </c>
      <c r="F84" s="294" t="n">
        <v>0.158242919223969913</v>
      </c>
      <c r="G84" s="333" t="n">
        <v>1.19913079445104209</v>
      </c>
      <c r="H84" s="333" t="n">
        <v>1.20334090534979432</v>
      </c>
      <c r="I84" s="294" t="n">
        <v>0.0852297179917695402</v>
      </c>
      <c r="J84" s="294" t="n">
        <v>0.655952394226370306</v>
      </c>
      <c r="K84" s="294" t="n">
        <v>0.0466000000000000014</v>
      </c>
      <c r="L84" s="294" t="n">
        <v>0.0320985475744302029</v>
      </c>
      <c r="M84" s="294" t="n">
        <v>0.0836307699949514927</v>
      </c>
      <c r="N84" s="333" t="n">
        <v>0.654103707447388771</v>
      </c>
      <c r="O84" s="333" t="n">
        <v>8.04009971691332304</v>
      </c>
      <c r="P84" s="333" t="n">
        <v>22.8928203879599508</v>
      </c>
      <c r="Q84" s="333" t="n">
        <v>31.9307395695961276</v>
      </c>
      <c r="R84" s="333" t="n">
        <v>4.96747479735517583</v>
      </c>
      <c r="S84" s="333" t="n">
        <v>76.0255286412391058</v>
      </c>
      <c r="T84" s="294" t="n">
        <v>0.0986212406622428084</v>
      </c>
      <c r="U84" s="294" t="n">
        <v>0.104652139343787409</v>
      </c>
      <c r="V84" s="294" t="n">
        <v>0.0892110076852720724</v>
      </c>
      <c r="W84" s="294" t="n">
        <v>0.567185448393571878</v>
      </c>
      <c r="X84" s="294" t="n">
        <v>0.185174855574994535</v>
      </c>
      <c r="Y84" s="294" t="n">
        <v>0.00266732108983007254</v>
      </c>
      <c r="Z84" s="294" t="n">
        <v>0.00266732108983003258</v>
      </c>
    </row>
    <row r="85" spans="1:26">
      <c r="A85" t="s">
        <v>531</v>
      </c>
      <c r="B85" t="n">
        <v>255</v>
      </c>
      <c r="C85" s="294" t="n">
        <v>0.127112574257425726</v>
      </c>
      <c r="D85" s="294" t="n">
        <v>0.210942472839617245</v>
      </c>
      <c r="E85" s="294" t="n">
        <v>0.14823289628166247</v>
      </c>
      <c r="F85" s="294" t="n">
        <v>0.143950948344714096</v>
      </c>
      <c r="G85" s="333" t="n">
        <v>1.02025612965649981</v>
      </c>
      <c r="H85" s="333" t="n">
        <v>1.08754841121495339</v>
      </c>
      <c r="I85" s="294" t="n">
        <v>0.0793474592897196374</v>
      </c>
      <c r="J85" s="294" t="n">
        <v>0.532682817513367368</v>
      </c>
      <c r="K85" s="294" t="n">
        <v>0.0391000000000000014</v>
      </c>
      <c r="L85" s="294" t="n">
        <v>0.123885641307957473</v>
      </c>
      <c r="M85" s="294" t="n">
        <v>0.0731988341265629217</v>
      </c>
      <c r="N85" s="333" t="n">
        <v>0.729210647239860599</v>
      </c>
      <c r="O85" s="333" t="n">
        <v>7.27177380164006681</v>
      </c>
      <c r="P85" s="333" t="n">
        <v>22.6191810090646008</v>
      </c>
      <c r="Q85" s="333" t="n">
        <v>35.0236619635007429</v>
      </c>
      <c r="R85" s="333" t="n">
        <v>6.59800624504685551</v>
      </c>
      <c r="S85" s="333" t="n">
        <v>362.135554482130317</v>
      </c>
      <c r="T85" s="294" t="n">
        <v>0.127550738454298562</v>
      </c>
      <c r="U85" s="294" t="n">
        <v>0.0588418914400174575</v>
      </c>
      <c r="V85" s="294" t="n">
        <v>0.168859531695577081</v>
      </c>
      <c r="W85" s="294" t="n">
        <v>1.09139467380680411</v>
      </c>
      <c r="X85" s="294" t="n">
        <v>0.170833028949129968</v>
      </c>
      <c r="Y85" s="294" t="n">
        <v>0.502822182494972836</v>
      </c>
      <c r="Z85" s="294" t="n">
        <v>0.502822182494972836</v>
      </c>
    </row>
    <row r="86" spans="1:26">
      <c r="A86" t="s">
        <v>532</v>
      </c>
      <c r="B86" t="n">
        <v>37</v>
      </c>
      <c r="C86" s="294" t="n">
        <v>-0.0438147619047619141</v>
      </c>
      <c r="D86" s="294" t="n">
        <v>0.0728977286472312969</v>
      </c>
      <c r="E86" s="294" t="n">
        <v>0.15665869807769452</v>
      </c>
      <c r="F86" s="294" t="n">
        <v>0.261763390861128498</v>
      </c>
      <c r="G86" s="333" t="n">
        <v>1.53269272819230551</v>
      </c>
      <c r="H86" s="333" t="n">
        <v>1.81667509677419368</v>
      </c>
      <c r="I86" s="294" t="n">
        <v>0.116387094916129041</v>
      </c>
      <c r="J86" s="294" t="n">
        <v>0.703990003373343587</v>
      </c>
      <c r="K86" s="294" t="n">
        <v>0.0466000000000000014</v>
      </c>
      <c r="L86" s="294" t="n">
        <v>0.265934542206626867</v>
      </c>
      <c r="M86" s="294" t="n">
        <v>0.0948540838576389156</v>
      </c>
      <c r="N86" s="333" t="n">
        <v>2.31206360337033878</v>
      </c>
      <c r="O86" s="333" t="n">
        <v>0.959360458904127711</v>
      </c>
      <c r="P86" s="333" t="n">
        <v>8.43530158010862685</v>
      </c>
      <c r="Q86" s="333" t="n">
        <v>12.9337158874420641</v>
      </c>
      <c r="R86" s="333" t="n">
        <v>2.25608763573409332</v>
      </c>
      <c r="S86" s="333" t="n">
        <v>32.3047550965592833</v>
      </c>
      <c r="T86" s="294" t="n">
        <v>0.210474224692101064</v>
      </c>
      <c r="U86" s="294" t="n">
        <v>0.0286208391333371992</v>
      </c>
      <c r="V86" s="294" t="n">
        <v>0.0173863731301758921</v>
      </c>
      <c r="W86" s="294" t="n">
        <v>0.637208243614392966</v>
      </c>
      <c r="X86" s="294" t="n">
        <v>0.122320459987163299</v>
      </c>
      <c r="Y86" s="294" t="n">
        <v>0.342600562582792367</v>
      </c>
      <c r="Z86" s="294" t="n">
        <v>0.342600562582792367</v>
      </c>
    </row>
    <row r="87" spans="1:26">
      <c r="A87" t="s">
        <v>533</v>
      </c>
      <c r="B87" t="n">
        <v>18</v>
      </c>
      <c r="C87" s="294" t="n">
        <v>0.00812857142857142989</v>
      </c>
      <c r="D87" s="294" t="n">
        <v>0.0877991704562221997</v>
      </c>
      <c r="E87" s="294" t="n">
        <v>0.0543443549228426193</v>
      </c>
      <c r="F87" s="294" t="n">
        <v>0.477777421732303686</v>
      </c>
      <c r="G87" s="333" t="n">
        <v>0.708369003220438298</v>
      </c>
      <c r="H87" s="333" t="n">
        <v>1.3017575384615383</v>
      </c>
      <c r="I87" s="294" t="n">
        <v>0.090229282953846166</v>
      </c>
      <c r="J87" s="294" t="n">
        <v>0.544615086064977216</v>
      </c>
      <c r="K87" s="294" t="n">
        <v>0.0391000000000000014</v>
      </c>
      <c r="L87" s="294" t="n">
        <v>0.545400914994838448</v>
      </c>
      <c r="M87" s="294" t="n">
        <v>0.0572252830614768726</v>
      </c>
      <c r="N87" s="333" t="n">
        <v>0.672367066481308662</v>
      </c>
      <c r="O87" s="333" t="n">
        <v>2.15496664266178062</v>
      </c>
      <c r="P87" s="333" t="n">
        <v>6.23833548988184727</v>
      </c>
      <c r="Q87" s="333" t="n">
        <v>24.5578487822553519</v>
      </c>
      <c r="R87" s="333" t="n">
        <v>1.79271578323486462</v>
      </c>
      <c r="S87" s="333" t="n">
        <v>118.327844461264348</v>
      </c>
      <c r="T87" s="294" t="n">
        <v>0.0307718600548362486</v>
      </c>
      <c r="U87" s="294" t="n">
        <v>0.138629544427215002</v>
      </c>
      <c r="V87" s="294" t="n">
        <v>-0.0514721672185489432</v>
      </c>
      <c r="W87" s="294" t="n">
        <v>0.500245743989194214</v>
      </c>
      <c r="X87" s="294" t="n">
        <v>0.0186813234872853489</v>
      </c>
      <c r="Y87" s="294" t="n">
        <v>0.11065889431236906</v>
      </c>
      <c r="Z87" s="294" t="n">
        <v>0.110658894312369083</v>
      </c>
    </row>
    <row r="88" spans="1:26">
      <c r="A88" t="s">
        <v>534</v>
      </c>
      <c r="B88" t="n">
        <v>104</v>
      </c>
      <c r="C88" s="294" t="n">
        <v>0.0436134999999999984</v>
      </c>
      <c r="D88" s="294" t="n">
        <v>0.185076872613124799</v>
      </c>
      <c r="E88" s="294" t="n">
        <v>0.135873101682357</v>
      </c>
      <c r="F88" s="294" t="n">
        <v>0.215722014896423042</v>
      </c>
      <c r="G88" s="333" t="n">
        <v>0.958985984639130962</v>
      </c>
      <c r="H88" s="333" t="n">
        <v>1.03447744680851073</v>
      </c>
      <c r="I88" s="294" t="n">
        <v>0.0766514542978723323</v>
      </c>
      <c r="J88" s="294" t="n">
        <v>0.578670753809310856</v>
      </c>
      <c r="K88" s="294" t="n">
        <v>0.0391000000000000014</v>
      </c>
      <c r="L88" s="294" t="n">
        <v>0.171710081370134677</v>
      </c>
      <c r="M88" s="294" t="n">
        <v>0.0685921636212404451</v>
      </c>
      <c r="N88" s="333" t="n">
        <v>0.79849689349426658</v>
      </c>
      <c r="O88" s="333" t="n">
        <v>3.47592617808597115</v>
      </c>
      <c r="P88" s="333" t="n">
        <v>13.5771125811204083</v>
      </c>
      <c r="Q88" s="333" t="n">
        <v>18.1157616864262465</v>
      </c>
      <c r="R88" s="333" t="n">
        <v>3.219036143742108</v>
      </c>
      <c r="S88" s="333" t="n">
        <v>56.525267962443138</v>
      </c>
      <c r="T88" s="294" t="n">
        <v>0.174973805232810831</v>
      </c>
      <c r="U88" s="294" t="n">
        <v>0.0347537629377464308</v>
      </c>
      <c r="V88" s="294" t="n">
        <v>0.056741886222699689</v>
      </c>
      <c r="W88" s="294" t="n">
        <v>0.441098185800307352</v>
      </c>
      <c r="X88" s="294" t="n">
        <v>0.153105186511791569</v>
      </c>
      <c r="Y88" s="294" t="n">
        <v>0.439041552301859195</v>
      </c>
      <c r="Z88" s="294" t="n">
        <v>0.439041552301859195</v>
      </c>
    </row>
    <row r="89" spans="1:26">
      <c r="A89" t="s">
        <v>535</v>
      </c>
      <c r="B89" t="n">
        <v>66</v>
      </c>
      <c r="C89" s="294" t="n">
        <v>0.0632168965517241332</v>
      </c>
      <c r="D89" s="294" t="n">
        <v>0.175772027735250553</v>
      </c>
      <c r="E89" s="294" t="n">
        <v>0.159679678344480358</v>
      </c>
      <c r="F89" s="294" t="n">
        <v>0.331999565936780661</v>
      </c>
      <c r="G89" s="333" t="n">
        <v>0.719309484888424944</v>
      </c>
      <c r="H89" s="333" t="n">
        <v>1.08334537931034468</v>
      </c>
      <c r="I89" s="294" t="n">
        <v>0.0791339452689654888</v>
      </c>
      <c r="J89" s="294" t="n">
        <v>0.525668422795832146</v>
      </c>
      <c r="K89" s="294" t="n">
        <v>0.0391000000000000014</v>
      </c>
      <c r="L89" s="294" t="n">
        <v>0.442996018863407581</v>
      </c>
      <c r="M89" s="294" t="n">
        <v>0.0572419922544040194</v>
      </c>
      <c r="N89" s="333" t="n">
        <v>0.987930043679494041</v>
      </c>
      <c r="O89" s="333" t="n">
        <v>2.56811204982989061</v>
      </c>
      <c r="P89" s="333" t="n">
        <v>7.32280859039374121</v>
      </c>
      <c r="Q89" s="333" t="n">
        <v>14.5753313498357304</v>
      </c>
      <c r="R89" s="333" t="n">
        <v>2.81873826931872138</v>
      </c>
      <c r="S89" s="333" t="n">
        <v>45.5485087519145182</v>
      </c>
      <c r="T89" s="294" t="n">
        <v>-0.0289038058839878165</v>
      </c>
      <c r="U89" s="294" t="n">
        <v>0.145384265850090566</v>
      </c>
      <c r="V89" s="294" t="n">
        <v>0.0244076426653170042</v>
      </c>
      <c r="W89" s="294" t="n">
        <v>0.38616829315809591</v>
      </c>
      <c r="X89" s="294" t="n">
        <v>0.163369053068225227</v>
      </c>
      <c r="Y89" s="294" t="n">
        <v>0.844118946283250615</v>
      </c>
      <c r="Z89" s="294" t="n">
        <v>0.844118946283250615</v>
      </c>
    </row>
    <row r="90" spans="1:26">
      <c r="A90" t="s">
        <v>536</v>
      </c>
      <c r="B90" t="n">
        <v>24</v>
      </c>
      <c r="C90" s="294" t="n">
        <v>0.853149999999999764</v>
      </c>
      <c r="D90" s="294" t="n">
        <v>0.406177728181324937</v>
      </c>
      <c r="E90" s="294" t="n">
        <v>0.955941899547263318</v>
      </c>
      <c r="F90" s="294" t="n">
        <v>0.314726430103064292</v>
      </c>
      <c r="G90" s="333" t="n">
        <v>1.15184376892700024</v>
      </c>
      <c r="H90" s="333" t="n">
        <v>1.26220252631578966</v>
      </c>
      <c r="I90" s="294" t="n">
        <v>0.0882198883368421072</v>
      </c>
      <c r="J90" s="294" t="n">
        <v>0.451582473134512519</v>
      </c>
      <c r="K90" s="294" t="n">
        <v>0.0391000000000000014</v>
      </c>
      <c r="L90" s="294" t="n">
        <v>0.146294480940787563</v>
      </c>
      <c r="M90" s="294" t="n">
        <v>0.0796610923595860054</v>
      </c>
      <c r="N90" s="333" t="n">
        <v>2.48393804576254684</v>
      </c>
      <c r="O90" s="333" t="n">
        <v>6.6307058671313639</v>
      </c>
      <c r="P90" s="333" t="n">
        <v>15.3085471437493759</v>
      </c>
      <c r="Q90" s="333" t="n">
        <v>16.2864618071800393</v>
      </c>
      <c r="R90" s="333" t="n">
        <v>78.2543022312845125</v>
      </c>
      <c r="S90" s="333" t="n">
        <v>26.3050162193261095</v>
      </c>
      <c r="T90" s="294" t="n">
        <v>0.180504490575132408</v>
      </c>
      <c r="U90" s="294" t="n">
        <v>0.0328833080874286532</v>
      </c>
      <c r="V90" s="294" t="n">
        <v>-0.0642321373091948811</v>
      </c>
      <c r="W90" s="294" t="n">
        <v>-0.172930063887795722</v>
      </c>
      <c r="X90" s="294" t="n">
        <v>-2.82121470186344148</v>
      </c>
      <c r="Y90" s="294" t="n">
        <v>0.504396025212809995</v>
      </c>
      <c r="Z90" s="294" t="n">
        <v>0.504396025212809995</v>
      </c>
    </row>
    <row r="91" spans="1:26">
      <c r="A91" t="s">
        <v>537</v>
      </c>
      <c r="B91" t="n">
        <v>18</v>
      </c>
      <c r="C91" s="294" t="n">
        <v>0.191238461538461486</v>
      </c>
      <c r="D91" s="294" t="n">
        <v>0.0771651310548100433</v>
      </c>
      <c r="E91" s="294" t="n">
        <v>0.176055879540765385</v>
      </c>
      <c r="F91" s="294" t="n">
        <v>0.332908457970676608</v>
      </c>
      <c r="G91" s="333" t="n">
        <v>0.796648642006179308</v>
      </c>
      <c r="H91" s="333" t="n">
        <v>0.949032499999999857</v>
      </c>
      <c r="I91" s="294" t="n">
        <v>0.0723108510000000138</v>
      </c>
      <c r="J91" s="294" t="n">
        <v>0.463643712862958068</v>
      </c>
      <c r="K91" s="294" t="n">
        <v>0.0391000000000000014</v>
      </c>
      <c r="L91" s="294" t="n">
        <v>0.23091031381905478</v>
      </c>
      <c r="M91" s="294" t="n">
        <v>0.0624752605885141232</v>
      </c>
      <c r="N91" s="333" t="n">
        <v>2.92191449164332653</v>
      </c>
      <c r="O91" s="333" t="n">
        <v>1.54393988175882306</v>
      </c>
      <c r="P91" s="333" t="n">
        <v>11.21939480724288</v>
      </c>
      <c r="Q91" s="333" t="n">
        <v>20.0109039501513024</v>
      </c>
      <c r="R91" s="333" t="n">
        <v>7.25875284022822687</v>
      </c>
      <c r="S91" s="333" t="n">
        <v>31.8115388662615182</v>
      </c>
      <c r="T91" s="294" t="n">
        <v>0.0846429549506539836</v>
      </c>
      <c r="U91" s="294" t="n">
        <v>0.0666935555500042909</v>
      </c>
      <c r="V91" s="294" t="n">
        <v>0.0346272125214069959</v>
      </c>
      <c r="W91" s="294" t="n">
        <v>0.924449417312157529</v>
      </c>
      <c r="X91" s="294" t="n">
        <v>0.289707779333460849</v>
      </c>
      <c r="Y91" s="294" t="n">
        <v>0.473387668947956808</v>
      </c>
      <c r="Z91" s="294" t="n">
        <v>0.473387668947956808</v>
      </c>
    </row>
    <row r="92" spans="1:26">
      <c r="A92" t="s">
        <v>538</v>
      </c>
      <c r="B92" t="n">
        <v>8</v>
      </c>
      <c r="C92" s="294" t="n">
        <v>0.0425520000000000032</v>
      </c>
      <c r="D92" s="294" t="n">
        <v>0.343268867642182007</v>
      </c>
      <c r="E92" s="294" t="n">
        <v>0.135533397960257429</v>
      </c>
      <c r="F92" s="294" t="n">
        <v>0.375254503840375175</v>
      </c>
      <c r="G92" s="333" t="n">
        <v>0.868837276865501451</v>
      </c>
      <c r="H92" s="333" t="n">
        <v>1.00544342857142888</v>
      </c>
      <c r="I92" s="294" t="n">
        <v>0.0751765261714285771</v>
      </c>
      <c r="J92" s="294" t="n">
        <v>0.29770670385325122</v>
      </c>
      <c r="K92" s="294" t="n">
        <v>0.0360999999999999988</v>
      </c>
      <c r="L92" s="294" t="n">
        <v>0.1847593461440783</v>
      </c>
      <c r="M92" s="294" t="n">
        <v>0.0663560177714211807</v>
      </c>
      <c r="N92" s="333" t="n">
        <v>0.518293058763431347</v>
      </c>
      <c r="O92" s="333" t="n">
        <v>5.39579651017922046</v>
      </c>
      <c r="P92" s="333" t="n">
        <v>11.5590326099321956</v>
      </c>
      <c r="Q92" s="333" t="n">
        <v>15.7165604241475592</v>
      </c>
      <c r="R92" s="333" t="n">
        <v>4.18893445642122852</v>
      </c>
      <c r="S92" s="333" t="n">
        <v>26.0971149341866067</v>
      </c>
      <c r="T92" s="294" t="n">
        <v>0.0282685473754147054</v>
      </c>
      <c r="U92" s="294" t="n">
        <v>0.174535754525613696</v>
      </c>
      <c r="V92" s="294" t="n">
        <v>0.0915111812642835964</v>
      </c>
      <c r="W92" s="294" t="n">
        <v>0.428006801168934103</v>
      </c>
      <c r="X92" s="294" t="n">
        <v>0.174050311878812813</v>
      </c>
      <c r="Y92" s="294" t="n">
        <v>0.381511982869880271</v>
      </c>
      <c r="Z92" s="294" t="n">
        <v>0.381511982869880306</v>
      </c>
    </row>
    <row r="93" spans="1:26">
      <c r="A93" t="s">
        <v>539</v>
      </c>
      <c r="B93" t="n">
        <v>30</v>
      </c>
      <c r="C93" s="294" t="n">
        <v>0.0348004999999999853</v>
      </c>
      <c r="D93" s="294" t="n">
        <v>0.0765600327765182165</v>
      </c>
      <c r="E93" s="294" t="n">
        <v>0.0706972616838972989</v>
      </c>
      <c r="F93" s="294" t="n">
        <v>0.359551718454059976</v>
      </c>
      <c r="G93" s="333" t="n">
        <v>0.806946232239280548</v>
      </c>
      <c r="H93" s="333" t="n">
        <v>1.19801632000000001</v>
      </c>
      <c r="I93" s="294" t="n">
        <v>0.0849592290560000052</v>
      </c>
      <c r="J93" s="294" t="n">
        <v>0.542471889144898878</v>
      </c>
      <c r="K93" s="294" t="n">
        <v>0.0391000000000000014</v>
      </c>
      <c r="L93" s="294" t="n">
        <v>0.41106102596736207</v>
      </c>
      <c r="M93" s="294" t="n">
        <v>0.0622508906424906527</v>
      </c>
      <c r="N93" s="333" t="n">
        <v>1.16215643106986088</v>
      </c>
      <c r="O93" s="333" t="n">
        <v>1.78814212875753986</v>
      </c>
      <c r="P93" s="333" t="n">
        <v>11.4560222081174263</v>
      </c>
      <c r="Q93" s="333" t="n">
        <v>23.3074399894181319</v>
      </c>
      <c r="R93" s="333" t="n">
        <v>3.32853159114707964</v>
      </c>
      <c r="S93" s="333" t="n">
        <v>41.4550960124238017</v>
      </c>
      <c r="T93" s="294" t="n">
        <v>0.0764044624324512078</v>
      </c>
      <c r="U93" s="294" t="n">
        <v>0.173535074010026129</v>
      </c>
      <c r="V93" s="294" t="n">
        <v>0.111651333374247175</v>
      </c>
      <c r="W93" s="294" t="n">
        <v>2.31017956420273762</v>
      </c>
      <c r="X93" s="294" t="n">
        <v>0.0787261851299468951</v>
      </c>
      <c r="Y93" s="294" t="n">
        <v>0.274588203934112496</v>
      </c>
      <c r="Z93" s="294" t="n">
        <v>0.27458820393411254</v>
      </c>
    </row>
    <row r="94" spans="1:26">
      <c r="A94" t="s">
        <v>540</v>
      </c>
      <c r="B94" t="n">
        <v>18</v>
      </c>
      <c r="C94" s="294" t="n">
        <v>0.0245644444444444421</v>
      </c>
      <c r="D94" s="294" t="n">
        <v>0.1938941193270872</v>
      </c>
      <c r="E94" s="294" t="n">
        <v>0.0621310111515352848</v>
      </c>
      <c r="F94" s="294" t="n">
        <v>0.311210214655810491</v>
      </c>
      <c r="G94" s="333" t="n">
        <v>0.195288263491030882</v>
      </c>
      <c r="H94" s="333" t="n">
        <v>0.293367111111111178</v>
      </c>
      <c r="I94" s="294" t="n">
        <v>0.0390030492444444477</v>
      </c>
      <c r="J94" s="294" t="n">
        <v>0.206669308463897039</v>
      </c>
      <c r="K94" s="294" t="n">
        <v>0.0310999999999999988</v>
      </c>
      <c r="L94" s="294" t="n">
        <v>0.402051407696894536</v>
      </c>
      <c r="M94" s="294" t="n">
        <v>0.0328247054635680557</v>
      </c>
      <c r="N94" s="333" t="n">
        <v>0.463651849872304034</v>
      </c>
      <c r="O94" s="333" t="n">
        <v>3.72869082674076502</v>
      </c>
      <c r="P94" s="333" t="n">
        <v>11.8128156396266686</v>
      </c>
      <c r="Q94" s="333" t="n">
        <v>19.2308946659014843</v>
      </c>
      <c r="R94" s="333" t="n">
        <v>2.15215510369474838</v>
      </c>
      <c r="S94" s="333" t="n">
        <v>23.9986347222583305</v>
      </c>
      <c r="T94" s="294" t="n">
        <v>0.0509175924155361148</v>
      </c>
      <c r="U94" s="294" t="n">
        <v>0.293756938249471489</v>
      </c>
      <c r="V94" s="294" t="n">
        <v>0.197627302547045876</v>
      </c>
      <c r="W94" s="294" t="n">
        <v>1.49067653265210591</v>
      </c>
      <c r="X94" s="294" t="n">
        <v>0.0994720372243723538</v>
      </c>
      <c r="Y94" s="294" t="n">
        <v>0.763335859046923204</v>
      </c>
      <c r="Z94" s="294" t="n">
        <v>0.763335859046923204</v>
      </c>
    </row>
    <row r="95" spans="1:26">
      <c r="A95" t="s">
        <v>541</v>
      </c>
      <c r="B95" t="n">
        <v>23</v>
      </c>
      <c r="C95" s="294" t="n">
        <v>0.0377486666666666748</v>
      </c>
      <c r="D95" s="294" t="n">
        <v>0.282745740407058133</v>
      </c>
      <c r="E95" s="294" t="n">
        <v>0.0885632727423912769</v>
      </c>
      <c r="F95" s="294" t="n">
        <v>0.328585388582929472</v>
      </c>
      <c r="G95" s="333" t="n">
        <v>0.26742845919334135</v>
      </c>
      <c r="H95" s="333" t="n">
        <v>0.342384000000000022</v>
      </c>
      <c r="I95" s="294" t="n">
        <v>0.041493107199999999</v>
      </c>
      <c r="J95" s="294" t="n">
        <v>0.344960004870720649</v>
      </c>
      <c r="K95" s="294" t="n">
        <v>0.0360999999999999988</v>
      </c>
      <c r="L95" s="294" t="n">
        <v>0.276093682516488625</v>
      </c>
      <c r="M95" s="294" t="n">
        <v>0.0376120287076229687</v>
      </c>
      <c r="N95" s="333" t="n">
        <v>0.368969117963141757</v>
      </c>
      <c r="O95" s="333" t="n">
        <v>6.47566861492248425</v>
      </c>
      <c r="P95" s="333" t="n">
        <v>15.2126287731923391</v>
      </c>
      <c r="Q95" s="333" t="n">
        <v>22.5634824418829361</v>
      </c>
      <c r="R95" s="333" t="n">
        <v>3.3258604881039866</v>
      </c>
      <c r="S95" s="333" t="n">
        <v>137.582212804887405</v>
      </c>
      <c r="T95" s="294" t="n">
        <v>0.0988867031233590765</v>
      </c>
      <c r="U95" s="294" t="n">
        <v>0.346500660962504181</v>
      </c>
      <c r="V95" s="294" t="n">
        <v>0.26068325983892211</v>
      </c>
      <c r="W95" s="294" t="n">
        <v>1.57214363413186886</v>
      </c>
      <c r="X95" s="294" t="n">
        <v>0.136278596269250274</v>
      </c>
      <c r="Y95" s="294" t="n">
        <v>0.582335391848613426</v>
      </c>
      <c r="Z95" s="294" t="n">
        <v>0.429426305251447538</v>
      </c>
    </row>
  </sheetData>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headerFooter>
    <extLst>
      <ext uri="smNativeData">
        <pm:header xmlns:pm="smNativeData" id="1696577006" l="56" r="56" t="56" b="56" borderId="0" fillId="0" vertical="0"/>
        <pm:footer xmlns:pm="smNativeData" id="1696577006" l="56" r="56" t="56" b="56" borderId="0" fillId="0" vertical="2"/>
      </ext>
    </extLst>
  </headerFooter>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13.xml><?xml version="1.0" encoding="utf-8"?>
<worksheet xmlns="http://schemas.openxmlformats.org/spreadsheetml/2006/main" xmlns:r="http://schemas.openxmlformats.org/officeDocument/2006/relationships" xmlns:mc="http://schemas.openxmlformats.org/markup-compatibility/2006">
  <dimension ref="A1:Z95"/>
  <sheetViews>
    <sheetView view="normal" topLeftCell="A2" workbookViewId="0">
      <selection activeCell="T95" sqref="A1:IV95"/>
    </sheetView>
  </sheetViews>
  <sheetFormatPr baseColWidth="10" defaultColWidth="11.500000" defaultRowHeight="11.50"/>
  <cols>
    <col min="1" max="1" width="27.000000" customWidth="1" style="289"/>
    <col min="2" max="3" width="10.833333" customWidth="1" style="156"/>
    <col min="4" max="4" width="15.500000" customWidth="1" style="156"/>
    <col min="5" max="23" width="10.833333" customWidth="1" style="156"/>
  </cols>
  <sheetData>
    <row r="1" spans="1:26" s="213" customFormat="1" ht="12.65">
      <c r="A1" s="338" t="s">
        <v>428</v>
      </c>
      <c r="B1" s="213" t="s">
        <v>429</v>
      </c>
      <c r="C1" s="214" t="s">
        <v>430</v>
      </c>
      <c r="D1" s="213" t="s">
        <v>431</v>
      </c>
      <c r="E1" s="214" t="s">
        <v>432</v>
      </c>
      <c r="F1" s="213" t="s">
        <v>433</v>
      </c>
      <c r="G1" s="213" t="s">
        <v>371</v>
      </c>
      <c r="H1" s="213" t="s">
        <v>434</v>
      </c>
      <c r="I1" s="213" t="s">
        <v>435</v>
      </c>
      <c r="J1" s="213" t="s">
        <v>436</v>
      </c>
      <c r="K1" s="213" t="s">
        <v>437</v>
      </c>
      <c r="L1" s="213" t="s">
        <v>438</v>
      </c>
      <c r="M1" s="213" t="s">
        <v>133</v>
      </c>
      <c r="N1" s="215" t="s">
        <v>439</v>
      </c>
      <c r="O1" s="213" t="s">
        <v>369</v>
      </c>
      <c r="P1" s="213" t="s">
        <v>440</v>
      </c>
      <c r="Q1" s="213" t="s">
        <v>441</v>
      </c>
      <c r="R1" s="213" t="s">
        <v>442</v>
      </c>
      <c r="S1" s="213" t="s">
        <v>443</v>
      </c>
      <c r="T1" s="213" t="s">
        <v>444</v>
      </c>
      <c r="U1" s="213" t="s">
        <v>445</v>
      </c>
      <c r="V1" s="213" t="s">
        <v>446</v>
      </c>
      <c r="W1" s="213" t="s">
        <v>447</v>
      </c>
      <c r="X1" s="338" t="s">
        <v>448</v>
      </c>
      <c r="Y1" s="338" t="s">
        <v>449</v>
      </c>
      <c r="Z1" s="338" t="s">
        <v>450</v>
      </c>
    </row>
    <row r="2" spans="1:26" s="290" customFormat="1" ht="11.45">
      <c r="A2" s="339" t="s">
        <v>373</v>
      </c>
      <c r="B2" s="124" t="n">
        <v>258</v>
      </c>
      <c r="C2" s="340" t="n">
        <v>0.0681479999999999997</v>
      </c>
      <c r="D2" s="340" t="n">
        <v>0.10552837760257836</v>
      </c>
      <c r="E2" s="340" t="n">
        <v>0.359064194641488665</v>
      </c>
      <c r="F2" s="340" t="n">
        <v>0.266198054779797255</v>
      </c>
      <c r="G2" s="341" t="n">
        <v>0.969155940026989882</v>
      </c>
      <c r="H2" s="341" t="n">
        <v>1.15097100499999994</v>
      </c>
      <c r="I2" s="340" t="n">
        <v>0.0954602023100000174</v>
      </c>
      <c r="J2" s="340" t="n">
        <v>0.457404458999999974</v>
      </c>
      <c r="K2" s="340" t="n">
        <v>0.0491000000000000014</v>
      </c>
      <c r="L2" s="340" t="n">
        <v>0.278894071941823629</v>
      </c>
      <c r="M2" s="340" t="n">
        <v>0.0791578586646811555</v>
      </c>
      <c r="N2" s="341" t="n">
        <v>4.15636093779045712</v>
      </c>
      <c r="O2" s="341" t="n">
        <v>1.56826182810105212</v>
      </c>
      <c r="P2" s="341" t="n">
        <v>9.48166987331056355</v>
      </c>
      <c r="Q2" s="341" t="n">
        <v>14.6887383835193095</v>
      </c>
      <c r="R2" s="341" t="n">
        <v>2.49079965589535668</v>
      </c>
      <c r="S2" s="341" t="n">
        <v>57.7785067399999974</v>
      </c>
      <c r="T2" s="340" t="n">
        <v>-0.0355768370647514276</v>
      </c>
      <c r="U2" s="340" t="n">
        <v>0.0198453630550833289</v>
      </c>
      <c r="V2" s="340" t="n">
        <v>0.0171361429818450599</v>
      </c>
      <c r="W2" s="340" t="n">
        <v>0.349776398867278715</v>
      </c>
      <c r="X2" s="340" t="n">
        <v>0.126183729496728603</v>
      </c>
      <c r="Y2" s="340" t="n">
        <v>0.545358021632279311</v>
      </c>
      <c r="Z2" s="340" t="n">
        <v>0.545358021632279311</v>
      </c>
    </row>
    <row r="3" spans="1:26" s="290" customFormat="1" ht="11.45">
      <c r="A3" s="339" t="s">
        <v>451</v>
      </c>
      <c r="B3" s="124" t="n">
        <v>229</v>
      </c>
      <c r="C3" s="340" t="n">
        <v>0.0792511034499999845</v>
      </c>
      <c r="D3" s="340" t="n">
        <v>0.0875054551645229672</v>
      </c>
      <c r="E3" s="340" t="n">
        <v>0.204364550432960801</v>
      </c>
      <c r="F3" s="340" t="n">
        <v>0.274120940723300466</v>
      </c>
      <c r="G3" s="341" t="n">
        <v>1.0545917156239073</v>
      </c>
      <c r="H3" s="341" t="n">
        <v>1.14156264200000002</v>
      </c>
      <c r="I3" s="340" t="n">
        <v>0.0948768838039999984</v>
      </c>
      <c r="J3" s="340" t="n">
        <v>0.422912171000000026</v>
      </c>
      <c r="K3" s="340" t="n">
        <v>0.0491000000000000014</v>
      </c>
      <c r="L3" s="340" t="n">
        <v>0.17238241280029845</v>
      </c>
      <c r="M3" s="340" t="n">
        <v>0.0849010767191973414</v>
      </c>
      <c r="N3" s="341" t="n">
        <v>2.66107775148212466</v>
      </c>
      <c r="O3" s="341" t="n">
        <v>1.81308890494664894</v>
      </c>
      <c r="P3" s="341" t="n">
        <v>14.5055055915419135</v>
      </c>
      <c r="Q3" s="341" t="n">
        <v>20.2245970457570508</v>
      </c>
      <c r="R3" s="341" t="n">
        <v>5.00831089967833254</v>
      </c>
      <c r="S3" s="341" t="n">
        <v>44.5481300100000013</v>
      </c>
      <c r="T3" s="340" t="n">
        <v>0.257296650682131878</v>
      </c>
      <c r="U3" s="340" t="n">
        <v>0.0333465483475504021</v>
      </c>
      <c r="V3" s="340" t="n">
        <v>0.0172688828701584596</v>
      </c>
      <c r="W3" s="340" t="n">
        <v>0.600340341523227661</v>
      </c>
      <c r="X3" s="340" t="n">
        <v>0.219525620905671426</v>
      </c>
      <c r="Y3" s="340" t="n">
        <v>0.422849436949253388</v>
      </c>
      <c r="Z3" s="340" t="n">
        <v>0.422849436949253388</v>
      </c>
    </row>
    <row r="4" spans="1:26" s="290" customFormat="1" ht="11.45">
      <c r="A4" s="339" t="s">
        <v>452</v>
      </c>
      <c r="B4" s="124" t="n">
        <v>155</v>
      </c>
      <c r="C4" s="340" t="n">
        <v>0.0684644444399999941</v>
      </c>
      <c r="D4" s="340" t="n">
        <v>0.099095238845250524</v>
      </c>
      <c r="E4" s="340" t="n">
        <v>0.0886867091245620465</v>
      </c>
      <c r="F4" s="340" t="n">
        <v>0.26080343583667247</v>
      </c>
      <c r="G4" s="341" t="n">
        <v>0.636078025995849394</v>
      </c>
      <c r="H4" s="341" t="n">
        <v>0.925157557000000175</v>
      </c>
      <c r="I4" s="340" t="n">
        <v>0.0814597685340000055</v>
      </c>
      <c r="J4" s="340" t="n">
        <v>0.326859842</v>
      </c>
      <c r="K4" s="340" t="n">
        <v>0.0461000000000000032</v>
      </c>
      <c r="L4" s="340" t="n">
        <v>0.422665880059172494</v>
      </c>
      <c r="M4" s="340" t="n">
        <v>0.0617152706993679878</v>
      </c>
      <c r="N4" s="341" t="n">
        <v>1.07593299512656615</v>
      </c>
      <c r="O4" s="341" t="n">
        <v>1.68979891392830428</v>
      </c>
      <c r="P4" s="341" t="n">
        <v>7.55786137733253405</v>
      </c>
      <c r="Q4" s="341" t="n">
        <v>16.9476262598608507</v>
      </c>
      <c r="R4" s="341" t="n">
        <v>2.43369829162583606</v>
      </c>
      <c r="S4" s="341" t="n">
        <v>37.3072956999999974</v>
      </c>
      <c r="T4" s="340" t="n">
        <v>-0.0268159769323332009</v>
      </c>
      <c r="U4" s="340" t="n">
        <v>0.122613795637210821</v>
      </c>
      <c r="V4" s="340" t="n">
        <v>0.066255141299738094</v>
      </c>
      <c r="W4" s="340" t="n">
        <v>0.92538841702428023</v>
      </c>
      <c r="X4" s="340" t="n">
        <v>0.17245441620115658</v>
      </c>
      <c r="Y4" s="340" t="n">
        <v>0.324657992333811141</v>
      </c>
      <c r="Z4" s="340" t="n">
        <v>0.324657992333811096</v>
      </c>
    </row>
    <row r="5" spans="1:26" s="290" customFormat="1" ht="11.45">
      <c r="A5" s="339" t="s">
        <v>453</v>
      </c>
      <c r="B5" s="124" t="n">
        <v>1160</v>
      </c>
      <c r="C5" s="340" t="n">
        <v>0.0268804761899999978</v>
      </c>
      <c r="D5" s="340" t="n">
        <v>0.110784617998660107</v>
      </c>
      <c r="E5" s="340" t="n">
        <v>0.140327848058569948</v>
      </c>
      <c r="F5" s="340" t="n">
        <v>0.25854320499949508</v>
      </c>
      <c r="G5" s="341" t="n">
        <v>0.825988804397635512</v>
      </c>
      <c r="H5" s="341" t="n">
        <v>0.900268686999999801</v>
      </c>
      <c r="I5" s="340" t="n">
        <v>0.0799166585940000029</v>
      </c>
      <c r="J5" s="340" t="n">
        <v>0.370644854000000024</v>
      </c>
      <c r="K5" s="340" t="n">
        <v>0.0461000000000000032</v>
      </c>
      <c r="L5" s="340" t="n">
        <v>0.179423842811149159</v>
      </c>
      <c r="M5" s="340" t="n">
        <v>0.0718118882945016779</v>
      </c>
      <c r="N5" s="341" t="n">
        <v>1.51261812449245259</v>
      </c>
      <c r="O5" s="341" t="n">
        <v>2.04366825391222262</v>
      </c>
      <c r="P5" s="341" t="n">
        <v>12.0236830783048241</v>
      </c>
      <c r="Q5" s="341" t="n">
        <v>18.101187233318214</v>
      </c>
      <c r="R5" s="341" t="n">
        <v>2.99188052950721772</v>
      </c>
      <c r="S5" s="341" t="n">
        <v>66.7028956700000037</v>
      </c>
      <c r="T5" s="340" t="n">
        <v>0.229820146858011309</v>
      </c>
      <c r="U5" s="340" t="n">
        <v>0.0397396004663292324</v>
      </c>
      <c r="V5" s="340" t="n">
        <v>0.0253810902546639205</v>
      </c>
      <c r="W5" s="340" t="n">
        <v>0.397041210198550942</v>
      </c>
      <c r="X5" s="340" t="n">
        <v>0.115497429835615084</v>
      </c>
      <c r="Y5" s="340" t="n">
        <v>0.502523517577576317</v>
      </c>
      <c r="Z5" s="340" t="n">
        <v>0.502523517577576317</v>
      </c>
    </row>
    <row r="6" spans="1:26" s="290" customFormat="1" ht="11.45">
      <c r="A6" s="339" t="s">
        <v>454</v>
      </c>
      <c r="B6" s="124" t="n">
        <v>133</v>
      </c>
      <c r="C6" s="340" t="n">
        <v>0.0582333333300000167</v>
      </c>
      <c r="D6" s="340" t="n">
        <v>0.0629155993903572863</v>
      </c>
      <c r="E6" s="340" t="n">
        <v>0.065108421266052483</v>
      </c>
      <c r="F6" s="340" t="n">
        <v>0.254834455658826675</v>
      </c>
      <c r="G6" s="341" t="n">
        <v>1.03066513273063931</v>
      </c>
      <c r="H6" s="341" t="n">
        <v>1.49856147899999996</v>
      </c>
      <c r="I6" s="340" t="n">
        <v>0.117010811698000006</v>
      </c>
      <c r="J6" s="340" t="n">
        <v>0.308138560999999989</v>
      </c>
      <c r="K6" s="340" t="n">
        <v>0.0461000000000000032</v>
      </c>
      <c r="L6" s="340" t="n">
        <v>0.458426514037068067</v>
      </c>
      <c r="M6" s="340" t="n">
        <v>0.0792982437199689905</v>
      </c>
      <c r="N6" s="341" t="n">
        <v>1.20362334884836764</v>
      </c>
      <c r="O6" s="341" t="n">
        <v>0.98324607632889407</v>
      </c>
      <c r="P6" s="341" t="n">
        <v>9.3676333495258568</v>
      </c>
      <c r="Q6" s="341" t="n">
        <v>16.1615135762741069</v>
      </c>
      <c r="R6" s="341" t="n">
        <v>1.38584321043636315</v>
      </c>
      <c r="S6" s="341" t="n">
        <v>133.264473199999998</v>
      </c>
      <c r="T6" s="340" t="n">
        <v>0.0174019237885393974</v>
      </c>
      <c r="U6" s="340" t="n">
        <v>0.0699707754503950863</v>
      </c>
      <c r="V6" s="340" t="n">
        <v>0.0397347971202004491</v>
      </c>
      <c r="W6" s="340" t="n">
        <v>0.999512653268358164</v>
      </c>
      <c r="X6" s="340" t="n">
        <v>0.125480537083454546</v>
      </c>
      <c r="Y6" s="340" t="n">
        <v>0.339285186169427888</v>
      </c>
      <c r="Z6" s="340" t="n">
        <v>0.339285186169427977</v>
      </c>
    </row>
    <row r="7" spans="1:26" s="290" customFormat="1" ht="11.45">
      <c r="A7" s="339" t="s">
        <v>455</v>
      </c>
      <c r="B7" s="124" t="n">
        <v>687</v>
      </c>
      <c r="C7" s="340" t="n">
        <v>0.0603093023300000031</v>
      </c>
      <c r="D7" s="340" t="n">
        <v>0.0785288831032565771</v>
      </c>
      <c r="E7" s="340" t="n">
        <v>0.122869338359420155</v>
      </c>
      <c r="F7" s="340" t="n">
        <v>0.235158198516381711</v>
      </c>
      <c r="G7" s="341" t="n">
        <v>1.19924631820779236</v>
      </c>
      <c r="H7" s="341" t="n">
        <v>1.262370204</v>
      </c>
      <c r="I7" s="340" t="n">
        <v>0.102366952647999998</v>
      </c>
      <c r="J7" s="340" t="n">
        <v>0.34653858999999998</v>
      </c>
      <c r="K7" s="340" t="n">
        <v>0.0461000000000000032</v>
      </c>
      <c r="L7" s="340" t="n">
        <v>0.177882047029379393</v>
      </c>
      <c r="M7" s="340" t="n">
        <v>0.0903383226796167804</v>
      </c>
      <c r="N7" s="341" t="n">
        <v>1.8992771884557488</v>
      </c>
      <c r="O7" s="341" t="n">
        <v>0.999482969797987231</v>
      </c>
      <c r="P7" s="341" t="n">
        <v>8.29082288279766999</v>
      </c>
      <c r="Q7" s="341" t="n">
        <v>13.0551900500327864</v>
      </c>
      <c r="R7" s="341" t="n">
        <v>1.94365362943946955</v>
      </c>
      <c r="S7" s="341" t="n">
        <v>33.3685505899999981</v>
      </c>
      <c r="T7" s="340" t="n">
        <v>0.112447467415267965</v>
      </c>
      <c r="U7" s="340" t="n">
        <v>0.0575612034670099249</v>
      </c>
      <c r="V7" s="340" t="n">
        <v>0.0502498406720652735</v>
      </c>
      <c r="W7" s="340" t="n">
        <v>1.04598287607175711</v>
      </c>
      <c r="X7" s="340" t="n">
        <v>0.137007206345300725</v>
      </c>
      <c r="Y7" s="340" t="n">
        <v>0.248617216771437288</v>
      </c>
      <c r="Z7" s="340" t="n">
        <v>0.248617216771437288</v>
      </c>
    </row>
    <row r="8" spans="1:26" s="290" customFormat="1" ht="11.45">
      <c r="A8" s="339" t="s">
        <v>456</v>
      </c>
      <c r="B8" s="124" t="n">
        <v>615</v>
      </c>
      <c r="C8" s="340" t="n">
        <v>0.0865797735800000012</v>
      </c>
      <c r="D8" s="340" t="n">
        <v>0.00098588969053493738</v>
      </c>
      <c r="E8" s="340" t="n">
        <v>0.0000952957219684467205</v>
      </c>
      <c r="F8" s="340" t="n">
        <v>0.224886950605419189</v>
      </c>
      <c r="G8" s="341" t="n">
        <v>0.495003110898270116</v>
      </c>
      <c r="H8" s="341" t="n">
        <v>1.00487834000000009</v>
      </c>
      <c r="I8" s="340" t="n">
        <v>0.0864024570800000191</v>
      </c>
      <c r="J8" s="340" t="n">
        <v>0.244974588999999998</v>
      </c>
      <c r="K8" s="340" t="n">
        <v>0.0410999999999999943</v>
      </c>
      <c r="L8" s="340" t="n">
        <v>0.697334955040488147</v>
      </c>
      <c r="M8" s="340" t="n">
        <v>0.0477523972724665491</v>
      </c>
      <c r="N8" s="341" t="n">
        <v>0.121604590579078686</v>
      </c>
      <c r="O8" s="341" t="n">
        <v>8.5103549994996488</v>
      </c>
      <c r="P8" s="341" t="s">
        <v>457</v>
      </c>
      <c r="Q8" s="341" t="s">
        <v>457</v>
      </c>
      <c r="R8" s="341" t="n">
        <v>1.0790236869037253</v>
      </c>
      <c r="S8" s="341" t="n">
        <v>19.8827885000000002</v>
      </c>
      <c r="T8" s="340" t="s">
        <v>457</v>
      </c>
      <c r="U8" s="340" t="n">
        <v>0.0413365051938502681</v>
      </c>
      <c r="V8" s="340" t="n">
        <v>0.0268380122712611247</v>
      </c>
      <c r="W8" s="340" t="n">
        <v>34.5314370837368401</v>
      </c>
      <c r="X8" s="340" t="n">
        <v>0.102610467324315868</v>
      </c>
      <c r="Y8" s="340" t="n">
        <v>0.357881147396548549</v>
      </c>
      <c r="Z8" s="340" t="n">
        <v>0.357881147396548549</v>
      </c>
    </row>
    <row r="9" spans="1:26" s="290" customFormat="1" ht="11.45">
      <c r="A9" s="339" t="s">
        <v>458</v>
      </c>
      <c r="B9" s="124" t="n">
        <v>853</v>
      </c>
      <c r="C9" s="340" t="n">
        <v>0.0785587004799999988</v>
      </c>
      <c r="D9" s="340" t="n">
        <v>-0.000818186443170201549</v>
      </c>
      <c r="E9" s="340" t="n">
        <v>-0.000148273743598521524</v>
      </c>
      <c r="F9" s="340" t="n">
        <v>0.264405624070489775</v>
      </c>
      <c r="G9" s="341" t="n">
        <v>0.451920006544041275</v>
      </c>
      <c r="H9" s="341" t="n">
        <v>0.616949314000000015</v>
      </c>
      <c r="I9" s="340" t="n">
        <v>0.062350857467999985</v>
      </c>
      <c r="J9" s="340" t="n">
        <v>0.309430933999999969</v>
      </c>
      <c r="K9" s="340" t="n">
        <v>0.0461000000000000032</v>
      </c>
      <c r="L9" s="340" t="n">
        <v>0.563152742703198061</v>
      </c>
      <c r="M9" s="340" t="n">
        <v>0.0468048641172855895</v>
      </c>
      <c r="N9" s="341" t="n">
        <v>0.240720990266255219</v>
      </c>
      <c r="O9" s="341" t="n">
        <v>5.75349050604642809</v>
      </c>
      <c r="P9" s="341" t="s">
        <v>457</v>
      </c>
      <c r="Q9" s="341" t="s">
        <v>457</v>
      </c>
      <c r="R9" s="341" t="n">
        <v>1.12308759918025469</v>
      </c>
      <c r="S9" s="341" t="n">
        <v>22.7785368199999994</v>
      </c>
      <c r="T9" s="340" t="s">
        <v>457</v>
      </c>
      <c r="U9" s="340" t="n">
        <v>0.0420964188337829093</v>
      </c>
      <c r="V9" s="340" t="n">
        <v>0.0471083397005503368</v>
      </c>
      <c r="W9" s="340" t="s">
        <v>457</v>
      </c>
      <c r="X9" s="340" t="n">
        <v>0.0846288012439765325</v>
      </c>
      <c r="Y9" s="340" t="n">
        <v>0.31289441597916734</v>
      </c>
      <c r="Z9" s="340" t="n">
        <v>0.31289441597916734</v>
      </c>
    </row>
    <row r="10" spans="1:26" s="290" customFormat="1" ht="11.45">
      <c r="A10" s="339" t="s">
        <v>459</v>
      </c>
      <c r="B10" s="124" t="n">
        <v>222</v>
      </c>
      <c r="C10" s="340" t="n">
        <v>0.0312696875000000052</v>
      </c>
      <c r="D10" s="340" t="n">
        <v>0.209222460709034408</v>
      </c>
      <c r="E10" s="340" t="n">
        <v>0.141886377074253645</v>
      </c>
      <c r="F10" s="340" t="n">
        <v>0.267527373075992836</v>
      </c>
      <c r="G10" s="341" t="n">
        <v>0.6689116678500171</v>
      </c>
      <c r="H10" s="341" t="n">
        <v>0.757301820999999986</v>
      </c>
      <c r="I10" s="340" t="n">
        <v>0.0710527129019999926</v>
      </c>
      <c r="J10" s="340" t="n">
        <v>0.29647424400000002</v>
      </c>
      <c r="K10" s="340" t="n">
        <v>0.0461000000000000032</v>
      </c>
      <c r="L10" s="340" t="n">
        <v>0.186287513809838874</v>
      </c>
      <c r="M10" s="340" t="n">
        <v>0.0642891455172478743</v>
      </c>
      <c r="N10" s="341" t="n">
        <v>0.836304553447691035</v>
      </c>
      <c r="O10" s="341" t="n">
        <v>4.4001571525872949</v>
      </c>
      <c r="P10" s="341" t="n">
        <v>16.5322873877736036</v>
      </c>
      <c r="Q10" s="341" t="n">
        <v>20.9087796612857311</v>
      </c>
      <c r="R10" s="341" t="n">
        <v>3.70493930814889971</v>
      </c>
      <c r="S10" s="341" t="n">
        <v>45.6597558500000034</v>
      </c>
      <c r="T10" s="340" t="n">
        <v>0.0924184392998402338</v>
      </c>
      <c r="U10" s="340" t="n">
        <v>0.0419580456024316284</v>
      </c>
      <c r="V10" s="340" t="n">
        <v>0.0515135178704962726</v>
      </c>
      <c r="W10" s="340" t="n">
        <v>0.260834898255108749</v>
      </c>
      <c r="X10" s="340" t="n">
        <v>0.171412440384695541</v>
      </c>
      <c r="Y10" s="340" t="n">
        <v>0.62585568095825046</v>
      </c>
      <c r="Z10" s="340" t="n">
        <v>0.62585568095825046</v>
      </c>
    </row>
    <row r="11" spans="1:26" s="290" customFormat="1" ht="11.45">
      <c r="A11" s="339" t="s">
        <v>460</v>
      </c>
      <c r="B11" s="124" t="n">
        <v>101</v>
      </c>
      <c r="C11" s="340" t="n">
        <v>0.0461038333300000058</v>
      </c>
      <c r="D11" s="340" t="n">
        <v>0.153919706933566385</v>
      </c>
      <c r="E11" s="340" t="n">
        <v>0.203815695881660641</v>
      </c>
      <c r="F11" s="340" t="n">
        <v>0.270531355959481079</v>
      </c>
      <c r="G11" s="341" t="n">
        <v>0.571346339094084144</v>
      </c>
      <c r="H11" s="341" t="n">
        <v>0.640226741000000032</v>
      </c>
      <c r="I11" s="340" t="n">
        <v>0.0637940579419999931</v>
      </c>
      <c r="J11" s="340" t="n">
        <v>0.327896520000000002</v>
      </c>
      <c r="K11" s="340" t="n">
        <v>0.0461000000000000032</v>
      </c>
      <c r="L11" s="340" t="n">
        <v>0.190276982948452478</v>
      </c>
      <c r="M11" s="340" t="n">
        <v>0.0582667992971817306</v>
      </c>
      <c r="N11" s="341" t="n">
        <v>1.53453388849194106</v>
      </c>
      <c r="O11" s="341" t="n">
        <v>3.18655307197754167</v>
      </c>
      <c r="P11" s="341" t="n">
        <v>16.0762273372617521</v>
      </c>
      <c r="Q11" s="341" t="n">
        <v>20.699190197090001</v>
      </c>
      <c r="R11" s="341" t="n">
        <v>6.23197311280194555</v>
      </c>
      <c r="S11" s="341" t="n">
        <v>176.047657799999996</v>
      </c>
      <c r="T11" s="340" t="n">
        <v>-0.0100675589365345686</v>
      </c>
      <c r="U11" s="340" t="n">
        <v>0.0455476094714703539</v>
      </c>
      <c r="V11" s="340" t="n">
        <v>0.0355187526397925257</v>
      </c>
      <c r="W11" s="340" t="n">
        <v>0.37386917100456909</v>
      </c>
      <c r="X11" s="340" t="n">
        <v>0.218740799538293684</v>
      </c>
      <c r="Y11" s="340" t="n">
        <v>0.765684541660843543</v>
      </c>
      <c r="Z11" s="340" t="n">
        <v>0.765684541660843543</v>
      </c>
    </row>
    <row r="12" spans="1:26" s="290" customFormat="1" ht="11.45">
      <c r="A12" s="339" t="s">
        <v>461</v>
      </c>
      <c r="B12" s="124" t="n">
        <v>139</v>
      </c>
      <c r="C12" s="340" t="n">
        <v>0.064979017859999999</v>
      </c>
      <c r="D12" s="340" t="n">
        <v>0.170291717727770102</v>
      </c>
      <c r="E12" s="340" t="n">
        <v>0.154496986370621103</v>
      </c>
      <c r="F12" s="340" t="n">
        <v>0.273125503482077603</v>
      </c>
      <c r="G12" s="341" t="n">
        <v>0.802687302403947811</v>
      </c>
      <c r="H12" s="341" t="n">
        <v>1.06672564300000006</v>
      </c>
      <c r="I12" s="340" t="n">
        <v>0.0902369898659999947</v>
      </c>
      <c r="J12" s="340" t="n">
        <v>0.378921695999999963</v>
      </c>
      <c r="K12" s="340" t="n">
        <v>0.0461000000000000032</v>
      </c>
      <c r="L12" s="340" t="n">
        <v>0.361834908953483625</v>
      </c>
      <c r="M12" s="340" t="n">
        <v>0.0701582570110863557</v>
      </c>
      <c r="N12" s="341" t="n">
        <v>1.10635990128373063</v>
      </c>
      <c r="O12" s="341" t="n">
        <v>2.35948641286286742</v>
      </c>
      <c r="P12" s="341" t="n">
        <v>10.0407244067546362</v>
      </c>
      <c r="Q12" s="341" t="n">
        <v>13.8162379598849405</v>
      </c>
      <c r="R12" s="341" t="n">
        <v>2.63802260837377212</v>
      </c>
      <c r="S12" s="341" t="n">
        <v>95.7803008799999986</v>
      </c>
      <c r="T12" s="340" t="n">
        <v>0.16043388524499445</v>
      </c>
      <c r="U12" s="340" t="n">
        <v>0.0387946050311214421</v>
      </c>
      <c r="V12" s="340" t="n">
        <v>0.0307789324368760875</v>
      </c>
      <c r="W12" s="340" t="n">
        <v>0.346213600698102475</v>
      </c>
      <c r="X12" s="340" t="n">
        <v>0.101597078909205751</v>
      </c>
      <c r="Y12" s="340" t="n">
        <v>0.510112272227508257</v>
      </c>
      <c r="Z12" s="340" t="n">
        <v>0.510112272227508257</v>
      </c>
    </row>
    <row r="13" spans="1:26" s="290" customFormat="1" ht="11.45">
      <c r="A13" s="339" t="s">
        <v>462</v>
      </c>
      <c r="B13" s="124" t="n">
        <v>555</v>
      </c>
      <c r="C13" s="340" t="n">
        <v>0.132945457099999986</v>
      </c>
      <c r="D13" s="340" t="n">
        <v>0.0029983084813204437</v>
      </c>
      <c r="E13" s="340" t="n">
        <v>0.000436804176115593634</v>
      </c>
      <c r="F13" s="340" t="n">
        <v>0.253172855065301317</v>
      </c>
      <c r="G13" s="341" t="n">
        <v>0.496836711093981176</v>
      </c>
      <c r="H13" s="341" t="n">
        <v>1.07038119300000001</v>
      </c>
      <c r="I13" s="340" t="n">
        <v>0.0904636339660000033</v>
      </c>
      <c r="J13" s="340" t="n">
        <v>0.372247039999999974</v>
      </c>
      <c r="K13" s="340" t="n">
        <v>0.0461000000000000032</v>
      </c>
      <c r="L13" s="340" t="n">
        <v>0.663170807903584869</v>
      </c>
      <c r="M13" s="340" t="n">
        <v>0.053513040470844162</v>
      </c>
      <c r="N13" s="341" t="n">
        <v>0.171310563526006376</v>
      </c>
      <c r="O13" s="341" t="n">
        <v>7.62872909319338266</v>
      </c>
      <c r="P13" s="341" t="s">
        <v>457</v>
      </c>
      <c r="Q13" s="341" t="s">
        <v>457</v>
      </c>
      <c r="R13" s="341" t="n">
        <v>1.4898152405273402</v>
      </c>
      <c r="S13" s="341" t="n">
        <v>45.7168222399999991</v>
      </c>
      <c r="T13" s="340" t="s">
        <v>457</v>
      </c>
      <c r="U13" s="340" t="n">
        <v>0.0377311319698053627</v>
      </c>
      <c r="V13" s="340" t="n">
        <v>0.0324459267004981688</v>
      </c>
      <c r="W13" s="340" t="n">
        <v>191.565395488633413</v>
      </c>
      <c r="X13" s="340" t="n">
        <v>0.0997043899606289763</v>
      </c>
      <c r="Y13" s="340" t="n">
        <v>0.462023698137905203</v>
      </c>
      <c r="Z13" s="340" t="n">
        <v>0.462023698137905203</v>
      </c>
    </row>
    <row r="14" spans="1:26" s="290" customFormat="1" ht="11.45">
      <c r="A14" s="339" t="s">
        <v>463</v>
      </c>
      <c r="B14" s="124" t="n">
        <v>432</v>
      </c>
      <c r="C14" s="340" t="n">
        <v>0.0590014970100000014</v>
      </c>
      <c r="D14" s="340" t="n">
        <v>0.0931861762554409623</v>
      </c>
      <c r="E14" s="340" t="n">
        <v>0.125810365239789035</v>
      </c>
      <c r="F14" s="340" t="n">
        <v>0.260315050576311435</v>
      </c>
      <c r="G14" s="341" t="n">
        <v>0.844044331084620936</v>
      </c>
      <c r="H14" s="341" t="n">
        <v>0.950404260000000001</v>
      </c>
      <c r="I14" s="340" t="n">
        <v>0.0830250641199999961</v>
      </c>
      <c r="J14" s="340" t="n">
        <v>0.341679712000000002</v>
      </c>
      <c r="K14" s="340" t="n">
        <v>0.0461000000000000032</v>
      </c>
      <c r="L14" s="340" t="n">
        <v>0.205214300591459997</v>
      </c>
      <c r="M14" s="340" t="n">
        <v>0.0731174215012546735</v>
      </c>
      <c r="N14" s="341" t="n">
        <v>1.67160533862572773</v>
      </c>
      <c r="O14" s="341" t="n">
        <v>1.50496204783947451</v>
      </c>
      <c r="P14" s="341" t="n">
        <v>10.931069607782204</v>
      </c>
      <c r="Q14" s="341" t="n">
        <v>15.9807341713374207</v>
      </c>
      <c r="R14" s="341" t="n">
        <v>2.3528632135105445</v>
      </c>
      <c r="S14" s="341" t="n">
        <v>30.4090497199999987</v>
      </c>
      <c r="T14" s="340" t="n">
        <v>0.176281244364873002</v>
      </c>
      <c r="U14" s="340" t="n">
        <v>0.0402839108026166759</v>
      </c>
      <c r="V14" s="340" t="n">
        <v>0.0330972863823410579</v>
      </c>
      <c r="W14" s="340" t="n">
        <v>0.629849935451143317</v>
      </c>
      <c r="X14" s="340" t="n">
        <v>0.114586415209555281</v>
      </c>
      <c r="Y14" s="340" t="n">
        <v>0.316376890805105271</v>
      </c>
      <c r="Z14" s="340" t="n">
        <v>0.316376890805105226</v>
      </c>
    </row>
    <row r="15" spans="1:26" s="290" customFormat="1" ht="11.45">
      <c r="A15" s="339" t="s">
        <v>464</v>
      </c>
      <c r="B15" s="124" t="n">
        <v>834</v>
      </c>
      <c r="C15" s="340" t="n">
        <v>0.0891431198299999572</v>
      </c>
      <c r="D15" s="340" t="n">
        <v>0.0887876780294027768</v>
      </c>
      <c r="E15" s="340" t="n">
        <v>0.221453280522128804</v>
      </c>
      <c r="F15" s="340" t="n">
        <v>0.277091944783471522</v>
      </c>
      <c r="G15" s="341" t="n">
        <v>0.883905471748391669</v>
      </c>
      <c r="H15" s="341" t="n">
        <v>0.991328378000000043</v>
      </c>
      <c r="I15" s="340" t="n">
        <v>0.0855623594359999906</v>
      </c>
      <c r="J15" s="340" t="n">
        <v>0.404982400000000009</v>
      </c>
      <c r="K15" s="340" t="n">
        <v>0.0491000000000000014</v>
      </c>
      <c r="L15" s="340" t="n">
        <v>0.196589727722631835</v>
      </c>
      <c r="M15" s="340" t="n">
        <v>0.0760168096703920959</v>
      </c>
      <c r="N15" s="341" t="n">
        <v>3.06922609323720375</v>
      </c>
      <c r="O15" s="341" t="n">
        <v>1.76181763721032869</v>
      </c>
      <c r="P15" s="341" t="n">
        <v>12.9759291261094436</v>
      </c>
      <c r="Q15" s="341" t="n">
        <v>18.8652119907157179</v>
      </c>
      <c r="R15" s="341" t="n">
        <v>4.31615183417279447</v>
      </c>
      <c r="S15" s="341" t="n">
        <v>59.6003630399999977</v>
      </c>
      <c r="T15" s="340" t="n">
        <v>0.0995520220051604277</v>
      </c>
      <c r="U15" s="340" t="n">
        <v>0.0240082146699619914</v>
      </c>
      <c r="V15" s="340" t="n">
        <v>0.021515145874825321</v>
      </c>
      <c r="W15" s="340" t="n">
        <v>0.485852206068805259</v>
      </c>
      <c r="X15" s="340" t="n">
        <v>0.166563719806597703</v>
      </c>
      <c r="Y15" s="340" t="n">
        <v>0.493792071027225532</v>
      </c>
      <c r="Z15" s="340" t="n">
        <v>0.493792071027225532</v>
      </c>
    </row>
    <row r="16" spans="1:26" s="290" customFormat="1" ht="11.45">
      <c r="A16" s="339" t="s">
        <v>465</v>
      </c>
      <c r="B16" s="124" t="n">
        <v>65</v>
      </c>
      <c r="C16" s="340" t="n">
        <v>0.0789835555600000028</v>
      </c>
      <c r="D16" s="340" t="n">
        <v>0.163344480347225796</v>
      </c>
      <c r="E16" s="340" t="n">
        <v>0.120550657829805141</v>
      </c>
      <c r="F16" s="340" t="n">
        <v>0.280011217281604665</v>
      </c>
      <c r="G16" s="341" t="n">
        <v>0.825687565123464928</v>
      </c>
      <c r="H16" s="341" t="n">
        <v>1.15008515100000008</v>
      </c>
      <c r="I16" s="340" t="n">
        <v>0.0954052793620000017</v>
      </c>
      <c r="J16" s="340" t="n">
        <v>0.351682828999999986</v>
      </c>
      <c r="K16" s="340" t="n">
        <v>0.0461000000000000032</v>
      </c>
      <c r="L16" s="340" t="n">
        <v>0.363876025277225956</v>
      </c>
      <c r="M16" s="340" t="n">
        <v>0.0733326654248837073</v>
      </c>
      <c r="N16" s="341" t="n">
        <v>0.84300118615923143</v>
      </c>
      <c r="O16" s="341" t="n">
        <v>3.70821155920490364</v>
      </c>
      <c r="P16" s="341" t="n">
        <v>10.7335652750454908</v>
      </c>
      <c r="Q16" s="341" t="n">
        <v>22.1847234863471883</v>
      </c>
      <c r="R16" s="341" t="n">
        <v>3.22234141782593619</v>
      </c>
      <c r="S16" s="341" t="n">
        <v>53.3510082399999988</v>
      </c>
      <c r="T16" s="340" t="n">
        <v>-0.01336950672555558</v>
      </c>
      <c r="U16" s="340" t="n">
        <v>0.129387718173928778</v>
      </c>
      <c r="V16" s="340" t="n">
        <v>-0.0256696743554530205</v>
      </c>
      <c r="W16" s="340" t="n">
        <v>-0.19464982487492474</v>
      </c>
      <c r="X16" s="340" t="n">
        <v>0.102618760624408023</v>
      </c>
      <c r="Y16" s="340" t="n">
        <v>0.357250258472789994</v>
      </c>
      <c r="Z16" s="340" t="n">
        <v>0.357250258472789994</v>
      </c>
    </row>
    <row r="17" spans="1:26" s="290" customFormat="1" ht="11.45">
      <c r="A17" s="339" t="s">
        <v>466</v>
      </c>
      <c r="B17" s="124" t="n">
        <v>787</v>
      </c>
      <c r="C17" s="340" t="n">
        <v>0.0628414457800000026</v>
      </c>
      <c r="D17" s="340" t="n">
        <v>0.106919705244146956</v>
      </c>
      <c r="E17" s="340" t="n">
        <v>0.110667687163620942</v>
      </c>
      <c r="F17" s="340" t="n">
        <v>0.186672875581143298</v>
      </c>
      <c r="G17" s="341" t="n">
        <v>1.03687966014349464</v>
      </c>
      <c r="H17" s="341" t="n">
        <v>1.13569581399999997</v>
      </c>
      <c r="I17" s="340" t="n">
        <v>0.0945131404679999854</v>
      </c>
      <c r="J17" s="340" t="n">
        <v>0.343644008000000012</v>
      </c>
      <c r="K17" s="340" t="n">
        <v>0.0461000000000000032</v>
      </c>
      <c r="L17" s="340" t="n">
        <v>0.20424319050081845</v>
      </c>
      <c r="M17" s="340" t="n">
        <v>0.0823060211871331582</v>
      </c>
      <c r="N17" s="341" t="n">
        <v>1.2520658478412634</v>
      </c>
      <c r="O17" s="341" t="n">
        <v>1.5419245587961397</v>
      </c>
      <c r="P17" s="341" t="n">
        <v>9.53046678673385905</v>
      </c>
      <c r="Q17" s="341" t="n">
        <v>14.136598776210068</v>
      </c>
      <c r="R17" s="341" t="n">
        <v>1.93411911701623964</v>
      </c>
      <c r="S17" s="341" t="n">
        <v>38.0752399300000022</v>
      </c>
      <c r="T17" s="340" t="n">
        <v>0.141614922287252343</v>
      </c>
      <c r="U17" s="340" t="n">
        <v>0.0579019054118215415</v>
      </c>
      <c r="V17" s="340" t="n">
        <v>0.0374266497577296775</v>
      </c>
      <c r="W17" s="340" t="n">
        <v>0.660241520378969415</v>
      </c>
      <c r="X17" s="340" t="n">
        <v>0.14364334274026147</v>
      </c>
      <c r="Y17" s="340" t="n">
        <v>0.39949113976908448</v>
      </c>
      <c r="Z17" s="340" t="n">
        <v>0.399491139769084569</v>
      </c>
    </row>
    <row r="18" spans="1:26" s="290" customFormat="1" ht="11.45">
      <c r="A18" s="339" t="s">
        <v>467</v>
      </c>
      <c r="B18" s="124" t="n">
        <v>75</v>
      </c>
      <c r="C18" s="340" t="n">
        <v>0.0412284374999999947</v>
      </c>
      <c r="D18" s="340" t="n">
        <v>0.11204207227302434</v>
      </c>
      <c r="E18" s="340" t="n">
        <v>0.119147551384112194</v>
      </c>
      <c r="F18" s="340" t="n">
        <v>0.227414515643321868</v>
      </c>
      <c r="G18" s="341" t="n">
        <v>1.31472699650893277</v>
      </c>
      <c r="H18" s="341" t="n">
        <v>1.50266922000000003</v>
      </c>
      <c r="I18" s="340" t="n">
        <v>0.117265491639999997</v>
      </c>
      <c r="J18" s="340" t="n">
        <v>0.337537157999999993</v>
      </c>
      <c r="K18" s="340" t="n">
        <v>0.0461000000000000032</v>
      </c>
      <c r="L18" s="340" t="n">
        <v>0.230177381982845297</v>
      </c>
      <c r="M18" s="340" t="n">
        <v>0.0982712721154752167</v>
      </c>
      <c r="N18" s="341" t="n">
        <v>1.3119843420488837</v>
      </c>
      <c r="O18" s="341" t="n">
        <v>1.78629685403882421</v>
      </c>
      <c r="P18" s="341" t="n">
        <v>10.2168698381821574</v>
      </c>
      <c r="Q18" s="341" t="n">
        <v>16.025097812868097</v>
      </c>
      <c r="R18" s="341" t="n">
        <v>1.7731799756752034</v>
      </c>
      <c r="S18" s="341" t="n">
        <v>22.3443794500000017</v>
      </c>
      <c r="T18" s="340" t="n">
        <v>0.220569071536904282</v>
      </c>
      <c r="U18" s="340" t="n">
        <v>0.071636915149476792</v>
      </c>
      <c r="V18" s="340" t="n">
        <v>0.0400196829607254756</v>
      </c>
      <c r="W18" s="340" t="n">
        <v>0.585988905228412271</v>
      </c>
      <c r="X18" s="340" t="n">
        <v>0.141025409294232773</v>
      </c>
      <c r="Y18" s="340" t="n">
        <v>0.415245394139897162</v>
      </c>
      <c r="Z18" s="340" t="n">
        <v>0.415245394139897162</v>
      </c>
    </row>
    <row r="19" spans="1:26" s="290" customFormat="1" ht="11.45">
      <c r="A19" s="339" t="s">
        <v>468</v>
      </c>
      <c r="B19" s="124" t="n">
        <v>770</v>
      </c>
      <c r="C19" s="340" t="n">
        <v>0.0581349711000000013</v>
      </c>
      <c r="D19" s="340" t="n">
        <v>0.113279553154265611</v>
      </c>
      <c r="E19" s="340" t="n">
        <v>0.121577573313130705</v>
      </c>
      <c r="F19" s="340" t="n">
        <v>0.225832264050322307</v>
      </c>
      <c r="G19" s="341" t="n">
        <v>1.06435369000057434</v>
      </c>
      <c r="H19" s="341" t="n">
        <v>1.17475984599999994</v>
      </c>
      <c r="I19" s="340" t="n">
        <v>0.0969351104519999929</v>
      </c>
      <c r="J19" s="340" t="n">
        <v>0.391574762000000032</v>
      </c>
      <c r="K19" s="340" t="n">
        <v>0.0461000000000000032</v>
      </c>
      <c r="L19" s="340" t="n">
        <v>0.184663910794288118</v>
      </c>
      <c r="M19" s="340" t="n">
        <v>0.0854509467016340629</v>
      </c>
      <c r="N19" s="341" t="n">
        <v>1.28363578789222688</v>
      </c>
      <c r="O19" s="341" t="n">
        <v>2.18293152728195272</v>
      </c>
      <c r="P19" s="341" t="n">
        <v>12.8812265955144607</v>
      </c>
      <c r="Q19" s="341" t="n">
        <v>19.0926236080744793</v>
      </c>
      <c r="R19" s="341" t="n">
        <v>2.9595758048489218</v>
      </c>
      <c r="S19" s="341" t="n">
        <v>49.7461094499999987</v>
      </c>
      <c r="T19" s="340" t="n">
        <v>0.156617425875131584</v>
      </c>
      <c r="U19" s="340" t="n">
        <v>0.0592621892812026729</v>
      </c>
      <c r="V19" s="340" t="n">
        <v>0.0581641326733084618</v>
      </c>
      <c r="W19" s="340" t="n">
        <v>0.798062281294720233</v>
      </c>
      <c r="X19" s="340" t="n">
        <v>0.135645206801297635</v>
      </c>
      <c r="Y19" s="340" t="n">
        <v>0.418459790202973547</v>
      </c>
      <c r="Z19" s="340" t="n">
        <v>0.418459790202973547</v>
      </c>
    </row>
    <row r="20" spans="1:26" s="290" customFormat="1" ht="11.45">
      <c r="A20" s="339" t="s">
        <v>469</v>
      </c>
      <c r="B20" s="124" t="n">
        <v>254</v>
      </c>
      <c r="C20" s="340" t="n">
        <v>-0.0117009917399999996</v>
      </c>
      <c r="D20" s="340" t="n">
        <v>0.172271486124452107</v>
      </c>
      <c r="E20" s="340" t="n">
        <v>0.141557414299853885</v>
      </c>
      <c r="F20" s="340" t="n">
        <v>0.218030959290378235</v>
      </c>
      <c r="G20" s="341" t="n">
        <v>1.10574997995254276</v>
      </c>
      <c r="H20" s="341" t="n">
        <v>1.24698157300000001</v>
      </c>
      <c r="I20" s="340" t="n">
        <v>0.101412857526</v>
      </c>
      <c r="J20" s="340" t="n">
        <v>0.581891854000000031</v>
      </c>
      <c r="K20" s="340" t="n">
        <v>0.0491000000000000014</v>
      </c>
      <c r="L20" s="340" t="n">
        <v>0.280045805507841905</v>
      </c>
      <c r="M20" s="340" t="n">
        <v>0.0833761748605921937</v>
      </c>
      <c r="N20" s="341" t="n">
        <v>0.897615082859719848</v>
      </c>
      <c r="O20" s="341" t="n">
        <v>1.70416852801872709</v>
      </c>
      <c r="P20" s="341" t="n">
        <v>6.43332541499381882</v>
      </c>
      <c r="Q20" s="341" t="n">
        <v>9.47070411049514327</v>
      </c>
      <c r="R20" s="341" t="n">
        <v>1.45693180228253194</v>
      </c>
      <c r="S20" s="341" t="n">
        <v>122.671826199999998</v>
      </c>
      <c r="T20" s="340" t="n">
        <v>0.0127627344536350584</v>
      </c>
      <c r="U20" s="340" t="n">
        <v>0.0750986287097397121</v>
      </c>
      <c r="V20" s="340" t="n">
        <v>0.0244908770962501565</v>
      </c>
      <c r="W20" s="340" t="n">
        <v>0.118026602369005706</v>
      </c>
      <c r="X20" s="340" t="n">
        <v>0.149340899051470677</v>
      </c>
      <c r="Y20" s="340" t="n">
        <v>0.723554983542347063</v>
      </c>
      <c r="Z20" s="340" t="n">
        <v>0.723554983542347063</v>
      </c>
    </row>
    <row r="21" spans="1:26" s="290" customFormat="1" ht="11.45">
      <c r="A21" s="339" t="s">
        <v>375</v>
      </c>
      <c r="B21" s="124" t="n">
        <v>931</v>
      </c>
      <c r="C21" s="340" t="n">
        <v>0.0819023600599999746</v>
      </c>
      <c r="D21" s="340" t="n">
        <v>0.0756946904095036643</v>
      </c>
      <c r="E21" s="340" t="n">
        <v>0.207360792282441686</v>
      </c>
      <c r="F21" s="340" t="n">
        <v>0.207702272456724302</v>
      </c>
      <c r="G21" s="341" t="n">
        <v>1.0135857658035281</v>
      </c>
      <c r="H21" s="341" t="n">
        <v>1.08367050400000009</v>
      </c>
      <c r="I21" s="340" t="n">
        <v>0.0912875712480000168</v>
      </c>
      <c r="J21" s="340" t="n">
        <v>0.392567920999999984</v>
      </c>
      <c r="K21" s="340" t="n">
        <v>0.0461000000000000032</v>
      </c>
      <c r="L21" s="340" t="n">
        <v>0.158025674557790712</v>
      </c>
      <c r="M21" s="340" t="n">
        <v>0.0823524833599373629</v>
      </c>
      <c r="N21" s="341" t="n">
        <v>3.30850289641805162</v>
      </c>
      <c r="O21" s="341" t="n">
        <v>1.2899417909424864</v>
      </c>
      <c r="P21" s="341" t="n">
        <v>12.1489740242723716</v>
      </c>
      <c r="Q21" s="341" t="n">
        <v>16.8023704055541394</v>
      </c>
      <c r="R21" s="341" t="n">
        <v>3.45234658309482567</v>
      </c>
      <c r="S21" s="341" t="n">
        <v>49.1107626300000035</v>
      </c>
      <c r="T21" s="340" t="n">
        <v>0.143237780174583644</v>
      </c>
      <c r="U21" s="340" t="n">
        <v>0.0181557846422750639</v>
      </c>
      <c r="V21" s="340" t="n">
        <v>0.0192853857296194882</v>
      </c>
      <c r="W21" s="340" t="n">
        <v>0.475574087628012254</v>
      </c>
      <c r="X21" s="340" t="n">
        <v>0.189591457154155218</v>
      </c>
      <c r="Y21" s="340" t="n">
        <v>0.36405880132362034</v>
      </c>
      <c r="Z21" s="340" t="n">
        <v>0.36405880132362034</v>
      </c>
    </row>
    <row r="22" spans="1:26" s="290" customFormat="1" ht="11.45">
      <c r="A22" s="339" t="s">
        <v>470</v>
      </c>
      <c r="B22" s="124" t="n">
        <v>331</v>
      </c>
      <c r="C22" s="340" t="n">
        <v>0.0199337307700000022</v>
      </c>
      <c r="D22" s="340" t="n">
        <v>0.124545206677084952</v>
      </c>
      <c r="E22" s="340" t="n">
        <v>0.166077558710449535</v>
      </c>
      <c r="F22" s="340" t="n">
        <v>0.239693546357943843</v>
      </c>
      <c r="G22" s="341" t="n">
        <v>1.21055621365494059</v>
      </c>
      <c r="H22" s="341" t="n">
        <v>1.27038725799999996</v>
      </c>
      <c r="I22" s="340" t="n">
        <v>0.102864009996000005</v>
      </c>
      <c r="J22" s="340" t="n">
        <v>0.379985455000000005</v>
      </c>
      <c r="K22" s="340" t="n">
        <v>0.0461000000000000032</v>
      </c>
      <c r="L22" s="340" t="n">
        <v>0.156413087010772038</v>
      </c>
      <c r="M22" s="340" t="n">
        <v>0.0922093945138675863</v>
      </c>
      <c r="N22" s="341" t="n">
        <v>1.52207376894473985</v>
      </c>
      <c r="O22" s="341" t="n">
        <v>1.66088673704504259</v>
      </c>
      <c r="P22" s="341" t="n">
        <v>9.45332241485000324</v>
      </c>
      <c r="Q22" s="341" t="n">
        <v>13.2974441584540486</v>
      </c>
      <c r="R22" s="341" t="n">
        <v>2.88570135399258376</v>
      </c>
      <c r="S22" s="341" t="n">
        <v>61.5843458299999966</v>
      </c>
      <c r="T22" s="340" t="n">
        <v>0.0547917685952962419</v>
      </c>
      <c r="U22" s="340" t="n">
        <v>0.0673491090954339988</v>
      </c>
      <c r="V22" s="340" t="n">
        <v>0.0671428090805246036</v>
      </c>
      <c r="W22" s="340" t="n">
        <v>0.846581094635464559</v>
      </c>
      <c r="X22" s="340" t="n">
        <v>0.188607707406314073</v>
      </c>
      <c r="Y22" s="340" t="n">
        <v>0.281220393284896062</v>
      </c>
      <c r="Z22" s="340" t="n">
        <v>0.281220393284896009</v>
      </c>
    </row>
    <row r="23" spans="1:26" s="290" customFormat="1" ht="11.45">
      <c r="A23" s="339" t="s">
        <v>471</v>
      </c>
      <c r="B23" s="124" t="n">
        <v>763</v>
      </c>
      <c r="C23" s="340" t="n">
        <v>0.0546733955899999913</v>
      </c>
      <c r="D23" s="340" t="n">
        <v>0.0876595034435300313</v>
      </c>
      <c r="E23" s="340" t="n">
        <v>0.0855136029901564854</v>
      </c>
      <c r="F23" s="340" t="n">
        <v>0.237760818005197194</v>
      </c>
      <c r="G23" s="341" t="n">
        <v>1.05928160323030962</v>
      </c>
      <c r="H23" s="341" t="n">
        <v>1.25547660299999997</v>
      </c>
      <c r="I23" s="340" t="n">
        <v>0.101939549386000006</v>
      </c>
      <c r="J23" s="340" t="n">
        <v>0.346527817999999987</v>
      </c>
      <c r="K23" s="340" t="n">
        <v>0.0461000000000000032</v>
      </c>
      <c r="L23" s="340" t="n">
        <v>0.292011567662073634</v>
      </c>
      <c r="M23" s="340" t="n">
        <v>0.0823181301280410693</v>
      </c>
      <c r="N23" s="341" t="n">
        <v>1.16756203018403482</v>
      </c>
      <c r="O23" s="341" t="n">
        <v>1.67628256497897032</v>
      </c>
      <c r="P23" s="341" t="n">
        <v>11.852786678481964</v>
      </c>
      <c r="Q23" s="341" t="n">
        <v>18.8695664797344911</v>
      </c>
      <c r="R23" s="341" t="n">
        <v>1.92835659310210499</v>
      </c>
      <c r="S23" s="341" t="n">
        <v>45.8640651999999989</v>
      </c>
      <c r="T23" s="340" t="n">
        <v>0.133182829146814274</v>
      </c>
      <c r="U23" s="340" t="n">
        <v>0.0460176748261408886</v>
      </c>
      <c r="V23" s="340" t="n">
        <v>0.0351286283001033217</v>
      </c>
      <c r="W23" s="340" t="n">
        <v>0.758375162931032065</v>
      </c>
      <c r="X23" s="340" t="n">
        <v>0.101656023939970597</v>
      </c>
      <c r="Y23" s="340" t="n">
        <v>0.462840328755074548</v>
      </c>
      <c r="Z23" s="340" t="n">
        <v>0.462840328755074548</v>
      </c>
    </row>
    <row r="24" spans="1:26" s="290" customFormat="1" ht="11.45">
      <c r="A24" s="339" t="s">
        <v>472</v>
      </c>
      <c r="B24" s="124" t="n">
        <v>349</v>
      </c>
      <c r="C24" s="340" t="n">
        <v>0.0556774820100000145</v>
      </c>
      <c r="D24" s="340" t="n">
        <v>0.130651753773109025</v>
      </c>
      <c r="E24" s="340" t="n">
        <v>0.107959173999852487</v>
      </c>
      <c r="F24" s="340" t="n">
        <v>0.215260376661072872</v>
      </c>
      <c r="G24" s="341" t="n">
        <v>0.758013513042967091</v>
      </c>
      <c r="H24" s="341" t="n">
        <v>1.00281008799999993</v>
      </c>
      <c r="I24" s="340" t="n">
        <v>0.0862742254559999999</v>
      </c>
      <c r="J24" s="340" t="n">
        <v>0.270764274000000027</v>
      </c>
      <c r="K24" s="340" t="n">
        <v>0.0461000000000000032</v>
      </c>
      <c r="L24" s="340" t="n">
        <v>0.37272439297905513</v>
      </c>
      <c r="M24" s="340" t="n">
        <v>0.0670682386301355482</v>
      </c>
      <c r="N24" s="341" t="n">
        <v>0.975568505478745251</v>
      </c>
      <c r="O24" s="341" t="n">
        <v>1.68890899708806845</v>
      </c>
      <c r="P24" s="341" t="n">
        <v>9.52092199957876417</v>
      </c>
      <c r="Q24" s="341" t="n">
        <v>12.7380584491076281</v>
      </c>
      <c r="R24" s="341" t="n">
        <v>1.24199280653358901</v>
      </c>
      <c r="S24" s="341" t="n">
        <v>27.2091513099999993</v>
      </c>
      <c r="T24" s="340" t="n">
        <v>-0.137024152157815915</v>
      </c>
      <c r="U24" s="340" t="n">
        <v>0.0491012780208641164</v>
      </c>
      <c r="V24" s="340" t="n">
        <v>0.0411819764156894408</v>
      </c>
      <c r="W24" s="340" t="n">
        <v>0.469734935590261138</v>
      </c>
      <c r="X24" s="340" t="n">
        <v>0.0983898279610084003</v>
      </c>
      <c r="Y24" s="340" t="n">
        <v>0.309369472377505605</v>
      </c>
      <c r="Z24" s="340" t="n">
        <v>0.309369472377505605</v>
      </c>
    </row>
    <row r="25" spans="1:26" s="290" customFormat="1" ht="11.45">
      <c r="A25" s="339" t="s">
        <v>473</v>
      </c>
      <c r="B25" s="124" t="n">
        <v>952</v>
      </c>
      <c r="C25" s="340" t="n">
        <v>0.228949765399999983</v>
      </c>
      <c r="D25" s="340" t="n">
        <v>0.230869294418869453</v>
      </c>
      <c r="E25" s="340" t="n">
        <v>0.102634142805896</v>
      </c>
      <c r="F25" s="340" t="n">
        <v>0.200605421009039198</v>
      </c>
      <c r="G25" s="341" t="n">
        <v>1.31262184688562433</v>
      </c>
      <c r="H25" s="341" t="n">
        <v>1.38393742099999994</v>
      </c>
      <c r="I25" s="340" t="n">
        <v>0.109904120101999991</v>
      </c>
      <c r="J25" s="340" t="n">
        <v>0.731585379000000025</v>
      </c>
      <c r="K25" s="340" t="n">
        <v>0.0565999999999999925</v>
      </c>
      <c r="L25" s="340" t="n">
        <v>0.127135606787064015</v>
      </c>
      <c r="M25" s="340" t="n">
        <v>0.101354924351318076</v>
      </c>
      <c r="N25" s="341" t="n">
        <v>0.454638993454259843</v>
      </c>
      <c r="O25" s="341" t="n">
        <v>7.933389689502099</v>
      </c>
      <c r="P25" s="341" t="n">
        <v>14.7715444959676905</v>
      </c>
      <c r="Q25" s="341" t="n">
        <v>29.3568251143527554</v>
      </c>
      <c r="R25" s="341" t="n">
        <v>5.52983058846588715</v>
      </c>
      <c r="S25" s="341" t="n">
        <v>298.1618833</v>
      </c>
      <c r="T25" s="340" t="n">
        <v>0.191556259079189886</v>
      </c>
      <c r="U25" s="340" t="n">
        <v>0.0484425591727115279</v>
      </c>
      <c r="V25" s="340" t="n">
        <v>0.0422783219055494452</v>
      </c>
      <c r="W25" s="340" t="n">
        <v>0.421847026657567703</v>
      </c>
      <c r="X25" s="340" t="n">
        <v>0.0893257454261497763</v>
      </c>
      <c r="Y25" s="340" t="n">
        <v>0.679207041340118867</v>
      </c>
      <c r="Z25" s="340" t="n">
        <v>0.679207041340118867</v>
      </c>
    </row>
    <row r="26" spans="1:26" s="290" customFormat="1" ht="11.45">
      <c r="A26" s="339" t="s">
        <v>474</v>
      </c>
      <c r="B26" s="124" t="n">
        <v>1036</v>
      </c>
      <c r="C26" s="340" t="n">
        <v>0.125296282300000006</v>
      </c>
      <c r="D26" s="340" t="n">
        <v>0.19799072965502349</v>
      </c>
      <c r="E26" s="340" t="n">
        <v>0.127770557737126467</v>
      </c>
      <c r="F26" s="340" t="n">
        <v>0.203840955724483219</v>
      </c>
      <c r="G26" s="341" t="n">
        <v>1.06290076937436662</v>
      </c>
      <c r="H26" s="341" t="n">
        <v>1.14171237900000011</v>
      </c>
      <c r="I26" s="340" t="n">
        <v>0.0948861674980000025</v>
      </c>
      <c r="J26" s="340" t="n">
        <v>0.430010981000000037</v>
      </c>
      <c r="K26" s="340" t="n">
        <v>0.0491000000000000014</v>
      </c>
      <c r="L26" s="340" t="n">
        <v>0.141304842160635591</v>
      </c>
      <c r="M26" s="340" t="n">
        <v>0.086707514239708221</v>
      </c>
      <c r="N26" s="341" t="n">
        <v>0.728053709225238066</v>
      </c>
      <c r="O26" s="341" t="n">
        <v>3.94172901936861528</v>
      </c>
      <c r="P26" s="341" t="n">
        <v>13.9629736291173625</v>
      </c>
      <c r="Q26" s="341" t="n">
        <v>20.4054435779843573</v>
      </c>
      <c r="R26" s="341" t="n">
        <v>3.43548556289588225</v>
      </c>
      <c r="S26" s="341" t="n">
        <v>910.911035599999991</v>
      </c>
      <c r="T26" s="340" t="n">
        <v>0.176309247951655745</v>
      </c>
      <c r="U26" s="340" t="n">
        <v>0.0437755117744895195</v>
      </c>
      <c r="V26" s="340" t="n">
        <v>0.0575390344225974903</v>
      </c>
      <c r="W26" s="340" t="n">
        <v>0.444498390680602107</v>
      </c>
      <c r="X26" s="340" t="n">
        <v>0.118571560673235865</v>
      </c>
      <c r="Y26" s="340" t="n">
        <v>0.672687388440649148</v>
      </c>
      <c r="Z26" s="340" t="n">
        <v>0.672687388440649148</v>
      </c>
    </row>
    <row r="27" spans="1:26" s="290" customFormat="1" ht="11.45">
      <c r="A27" s="339" t="s">
        <v>475</v>
      </c>
      <c r="B27" s="124" t="n">
        <v>185</v>
      </c>
      <c r="C27" s="340" t="n">
        <v>0.0384531192700000002</v>
      </c>
      <c r="D27" s="340" t="n">
        <v>0.110671349823916598</v>
      </c>
      <c r="E27" s="340" t="n">
        <v>0.114805851621995814</v>
      </c>
      <c r="F27" s="340" t="n">
        <v>0.171311850842886475</v>
      </c>
      <c r="G27" s="341" t="n">
        <v>0.85054097495250911</v>
      </c>
      <c r="H27" s="341" t="n">
        <v>0.928407333000000001</v>
      </c>
      <c r="I27" s="340" t="n">
        <v>0.0816612546460000033</v>
      </c>
      <c r="J27" s="340" t="n">
        <v>0.418947237999999977</v>
      </c>
      <c r="K27" s="340" t="n">
        <v>0.0491000000000000014</v>
      </c>
      <c r="L27" s="340" t="n">
        <v>0.195041600108256237</v>
      </c>
      <c r="M27" s="340" t="n">
        <v>0.0729517530044745932</v>
      </c>
      <c r="N27" s="341" t="n">
        <v>1.23009023893266245</v>
      </c>
      <c r="O27" s="341" t="n">
        <v>2.35062676591229591</v>
      </c>
      <c r="P27" s="341" t="n">
        <v>11.7648318689151434</v>
      </c>
      <c r="Q27" s="341" t="n">
        <v>20.5859104171786385</v>
      </c>
      <c r="R27" s="341" t="n">
        <v>2.48923160021826817</v>
      </c>
      <c r="S27" s="341" t="n">
        <v>81.6470406300000064</v>
      </c>
      <c r="T27" s="340" t="n">
        <v>0.0766433621569445656</v>
      </c>
      <c r="U27" s="340" t="n">
        <v>0.0562968708852959665</v>
      </c>
      <c r="V27" s="340" t="n">
        <v>0.0461296671230298738</v>
      </c>
      <c r="W27" s="340" t="n">
        <v>0.679405059080847273</v>
      </c>
      <c r="X27" s="340" t="n">
        <v>0.089027564278243041</v>
      </c>
      <c r="Y27" s="340" t="n">
        <v>0.411393188063026027</v>
      </c>
      <c r="Z27" s="340" t="n">
        <v>0.411393188063026027</v>
      </c>
    </row>
    <row r="28" spans="1:26" s="290" customFormat="1" ht="11.45">
      <c r="A28" s="339" t="s">
        <v>476</v>
      </c>
      <c r="B28" s="124" t="n">
        <v>909</v>
      </c>
      <c r="C28" s="340" t="n">
        <v>0.0543044352200000002</v>
      </c>
      <c r="D28" s="340" t="n">
        <v>0.0920705655723040017</v>
      </c>
      <c r="E28" s="340" t="n">
        <v>0.124460513033987286</v>
      </c>
      <c r="F28" s="340" t="n">
        <v>0.222333854195452663</v>
      </c>
      <c r="G28" s="341" t="n">
        <v>1.12572506267240824</v>
      </c>
      <c r="H28" s="341" t="n">
        <v>1.22028527199999992</v>
      </c>
      <c r="I28" s="340" t="n">
        <v>0.0997576868639999859</v>
      </c>
      <c r="J28" s="340" t="n">
        <v>0.398721955000000037</v>
      </c>
      <c r="K28" s="340" t="n">
        <v>0.0461000000000000032</v>
      </c>
      <c r="L28" s="340" t="n">
        <v>0.192801644526725635</v>
      </c>
      <c r="M28" s="340" t="n">
        <v>0.0872232438184570924</v>
      </c>
      <c r="N28" s="341" t="n">
        <v>1.55533474838464247</v>
      </c>
      <c r="O28" s="341" t="n">
        <v>1.83674304026594033</v>
      </c>
      <c r="P28" s="341" t="n">
        <v>12.1931312807673997</v>
      </c>
      <c r="Q28" s="341" t="n">
        <v>19.578511684786573</v>
      </c>
      <c r="R28" s="341" t="n">
        <v>2.63259722959047915</v>
      </c>
      <c r="S28" s="341" t="n">
        <v>59.8000451699999971</v>
      </c>
      <c r="T28" s="340" t="n">
        <v>0.214446208584726472</v>
      </c>
      <c r="U28" s="340" t="n">
        <v>0.0430503004199792905</v>
      </c>
      <c r="V28" s="340" t="n">
        <v>0.0432960468425636602</v>
      </c>
      <c r="W28" s="340" t="n">
        <v>0.808297978238552872</v>
      </c>
      <c r="X28" s="340" t="n">
        <v>0.110918603383455761</v>
      </c>
      <c r="Y28" s="340" t="n">
        <v>0.44910423049925754</v>
      </c>
      <c r="Z28" s="340" t="n">
        <v>0.44910423049925754</v>
      </c>
    </row>
    <row r="29" spans="1:26" s="290" customFormat="1" ht="11.45">
      <c r="A29" s="339" t="s">
        <v>477</v>
      </c>
      <c r="B29" s="124" t="n">
        <v>152</v>
      </c>
      <c r="C29" s="340" t="n">
        <v>-0.0174176923099999996</v>
      </c>
      <c r="D29" s="340" t="n">
        <v>0.0510662501592869411</v>
      </c>
      <c r="E29" s="340" t="n">
        <v>0.103368528129630821</v>
      </c>
      <c r="F29" s="340" t="n">
        <v>0.339740791684701948</v>
      </c>
      <c r="G29" s="341" t="n">
        <v>1.19596385949168237</v>
      </c>
      <c r="H29" s="341" t="n">
        <v>1.26368583999999995</v>
      </c>
      <c r="I29" s="340" t="n">
        <v>0.102448522080000015</v>
      </c>
      <c r="J29" s="340" t="n">
        <v>0.432333941999999993</v>
      </c>
      <c r="K29" s="340" t="n">
        <v>0.0491000000000000014</v>
      </c>
      <c r="L29" s="340" t="n">
        <v>0.235778350410566029</v>
      </c>
      <c r="M29" s="340" t="n">
        <v>0.087018750148765367</v>
      </c>
      <c r="N29" s="341" t="n">
        <v>2.26966350090362745</v>
      </c>
      <c r="O29" s="341" t="n">
        <v>0.75576393100018624</v>
      </c>
      <c r="P29" s="341" t="n">
        <v>8.63427422103149844</v>
      </c>
      <c r="Q29" s="341" t="n">
        <v>15.3269153353766434</v>
      </c>
      <c r="R29" s="341" t="n">
        <v>1.92200480384939461</v>
      </c>
      <c r="S29" s="341" t="n">
        <v>116.990126099999998</v>
      </c>
      <c r="T29" s="340" t="n">
        <v>0.0184357490905366372</v>
      </c>
      <c r="U29" s="340" t="n">
        <v>0.0460063078494357658</v>
      </c>
      <c r="V29" s="340" t="n">
        <v>0.028936375813342865</v>
      </c>
      <c r="W29" s="340" t="n">
        <v>1.1069615965084918</v>
      </c>
      <c r="X29" s="340" t="n">
        <v>0.0693547425372723403</v>
      </c>
      <c r="Y29" s="340" t="n">
        <v>0.389132148039820471</v>
      </c>
      <c r="Z29" s="340" t="n">
        <v>0.389132148039820471</v>
      </c>
    </row>
    <row r="30" spans="1:26" s="290" customFormat="1" ht="11.45">
      <c r="A30" s="339" t="s">
        <v>478</v>
      </c>
      <c r="B30" s="124" t="n">
        <v>1298</v>
      </c>
      <c r="C30" s="340" t="n">
        <v>0.061235795340000001</v>
      </c>
      <c r="D30" s="340" t="n">
        <v>0.0825862162541012346</v>
      </c>
      <c r="E30" s="340" t="n">
        <v>0.113655925507553923</v>
      </c>
      <c r="F30" s="340" t="n">
        <v>0.217114356457171587</v>
      </c>
      <c r="G30" s="341" t="n">
        <v>1.28053889509968343</v>
      </c>
      <c r="H30" s="341" t="n">
        <v>1.26877096800000011</v>
      </c>
      <c r="I30" s="340" t="n">
        <v>0.102763800016000006</v>
      </c>
      <c r="J30" s="340" t="n">
        <v>0.395319876000000026</v>
      </c>
      <c r="K30" s="340" t="n">
        <v>0.0461000000000000032</v>
      </c>
      <c r="L30" s="340" t="n">
        <v>0.12698229587082297</v>
      </c>
      <c r="M30" s="340" t="n">
        <v>0.0941266890074986051</v>
      </c>
      <c r="N30" s="341" t="n">
        <v>1.5942788148424059</v>
      </c>
      <c r="O30" s="341" t="n">
        <v>1.53193699622754735</v>
      </c>
      <c r="P30" s="341" t="n">
        <v>11.7525083978028082</v>
      </c>
      <c r="Q30" s="341" t="n">
        <v>18.6248862211394908</v>
      </c>
      <c r="R30" s="341" t="n">
        <v>2.42555852723398901</v>
      </c>
      <c r="S30" s="341" t="n">
        <v>67.3993217099999953</v>
      </c>
      <c r="T30" s="340" t="n">
        <v>0.170342045308203405</v>
      </c>
      <c r="U30" s="340" t="n">
        <v>0.059890795072933507</v>
      </c>
      <c r="V30" s="340" t="n">
        <v>0.0555345961558350343</v>
      </c>
      <c r="W30" s="340" t="n">
        <v>1.23069675823057478</v>
      </c>
      <c r="X30" s="340" t="n">
        <v>0.115138531736692884</v>
      </c>
      <c r="Y30" s="340" t="n">
        <v>0.354402726736396279</v>
      </c>
      <c r="Z30" s="340" t="n">
        <v>0.354402726736396279</v>
      </c>
    </row>
    <row r="31" spans="1:26" s="290" customFormat="1" ht="11.45">
      <c r="A31" s="339" t="s">
        <v>479</v>
      </c>
      <c r="B31" s="124" t="n">
        <v>1185</v>
      </c>
      <c r="C31" s="340" t="n">
        <v>0.0509520318199999878</v>
      </c>
      <c r="D31" s="340" t="n">
        <v>0.0495698718930726123</v>
      </c>
      <c r="E31" s="340" t="n">
        <v>0.0950081603571161892</v>
      </c>
      <c r="F31" s="340" t="n">
        <v>0.247799685810076431</v>
      </c>
      <c r="G31" s="341" t="n">
        <v>0.972173127426637151</v>
      </c>
      <c r="H31" s="341" t="n">
        <v>1.18227315099999997</v>
      </c>
      <c r="I31" s="340" t="n">
        <v>0.0974009353619999985</v>
      </c>
      <c r="J31" s="340" t="n">
        <v>0.367916905999999999</v>
      </c>
      <c r="K31" s="340" t="n">
        <v>0.0461000000000000032</v>
      </c>
      <c r="L31" s="340" t="n">
        <v>0.393051762821901995</v>
      </c>
      <c r="M31" s="340" t="n">
        <v>0.0727741335562155367</v>
      </c>
      <c r="N31" s="341" t="n">
        <v>2.31935246595224642</v>
      </c>
      <c r="O31" s="341" t="n">
        <v>0.719923446917059895</v>
      </c>
      <c r="P31" s="341" t="n">
        <v>9.56978128112348081</v>
      </c>
      <c r="Q31" s="341" t="n">
        <v>14.1744121224907165</v>
      </c>
      <c r="R31" s="341" t="n">
        <v>1.52121338231348036</v>
      </c>
      <c r="S31" s="341" t="n">
        <v>42.8549158000000006</v>
      </c>
      <c r="T31" s="340" t="n">
        <v>0.109023911091258462</v>
      </c>
      <c r="U31" s="340" t="n">
        <v>0.0299630265421960971</v>
      </c>
      <c r="V31" s="340" t="n">
        <v>0.0206185660310223673</v>
      </c>
      <c r="W31" s="340" t="n">
        <v>0.504468781969104363</v>
      </c>
      <c r="X31" s="340" t="n">
        <v>0.0997810345142741184</v>
      </c>
      <c r="Y31" s="340" t="n">
        <v>0.505408980997189783</v>
      </c>
      <c r="Z31" s="340" t="n">
        <v>0.505408980997189783</v>
      </c>
    </row>
    <row r="32" spans="1:26" s="290" customFormat="1" ht="11.45">
      <c r="A32" s="339" t="s">
        <v>388</v>
      </c>
      <c r="B32" s="124" t="n">
        <v>374</v>
      </c>
      <c r="C32" s="340" t="n">
        <v>0.0756458910899999992</v>
      </c>
      <c r="D32" s="340" t="n">
        <v>0.165289049122641973</v>
      </c>
      <c r="E32" s="340" t="n">
        <v>0.207462354741481647</v>
      </c>
      <c r="F32" s="340" t="n">
        <v>0.284008301310511477</v>
      </c>
      <c r="G32" s="341" t="n">
        <v>1.0178523443102685</v>
      </c>
      <c r="H32" s="341" t="n">
        <v>1.19187186499999997</v>
      </c>
      <c r="I32" s="340" t="n">
        <v>0.0979960556300000007</v>
      </c>
      <c r="J32" s="340" t="n">
        <v>0.447747488999999987</v>
      </c>
      <c r="K32" s="340" t="n">
        <v>0.0491000000000000014</v>
      </c>
      <c r="L32" s="340" t="n">
        <v>0.239161650074600463</v>
      </c>
      <c r="M32" s="340" t="n">
        <v>0.0834097335256930705</v>
      </c>
      <c r="N32" s="341" t="n">
        <v>1.39727834637070213</v>
      </c>
      <c r="O32" s="341" t="n">
        <v>2.8999415778110631</v>
      </c>
      <c r="P32" s="341" t="n">
        <v>11.6979172674403973</v>
      </c>
      <c r="Q32" s="341" t="n">
        <v>17.0826865307572504</v>
      </c>
      <c r="R32" s="341" t="n">
        <v>2.81516133127475285</v>
      </c>
      <c r="S32" s="341" t="n">
        <v>121.662560799999994</v>
      </c>
      <c r="T32" s="340" t="n">
        <v>0.0982239984746772699</v>
      </c>
      <c r="U32" s="340" t="n">
        <v>0.0451003151252118517</v>
      </c>
      <c r="V32" s="340" t="n">
        <v>0.0537031089790863003</v>
      </c>
      <c r="W32" s="340" t="n">
        <v>1.01554606045396167</v>
      </c>
      <c r="X32" s="340" t="n">
        <v>0.135474836381140862</v>
      </c>
      <c r="Y32" s="340" t="n">
        <v>0.337025271637637003</v>
      </c>
      <c r="Z32" s="340" t="n">
        <v>0.337025271637636914</v>
      </c>
    </row>
    <row r="33" spans="1:26" s="290" customFormat="1" ht="11.45">
      <c r="A33" s="339" t="s">
        <v>480</v>
      </c>
      <c r="B33" s="124" t="n">
        <v>320</v>
      </c>
      <c r="C33" s="340" t="n">
        <v>0.14818455090000004</v>
      </c>
      <c r="D33" s="340" t="n">
        <v>0.117087935014526989</v>
      </c>
      <c r="E33" s="340" t="n">
        <v>0.159663236688090588</v>
      </c>
      <c r="F33" s="340" t="n">
        <v>0.262744798523642809</v>
      </c>
      <c r="G33" s="341" t="n">
        <v>1.03422449359796809</v>
      </c>
      <c r="H33" s="341" t="n">
        <v>1.20454997100000005</v>
      </c>
      <c r="I33" s="340" t="n">
        <v>0.0987820982020000216</v>
      </c>
      <c r="J33" s="340" t="n">
        <v>0.462897755000000011</v>
      </c>
      <c r="K33" s="340" t="n">
        <v>0.0491000000000000014</v>
      </c>
      <c r="L33" s="340" t="n">
        <v>0.223315394068261819</v>
      </c>
      <c r="M33" s="340" t="n">
        <v>0.0849866941093347705</v>
      </c>
      <c r="N33" s="341" t="n">
        <v>1.5649981085228859</v>
      </c>
      <c r="O33" s="341" t="n">
        <v>2.58581934897860455</v>
      </c>
      <c r="P33" s="341" t="n">
        <v>13.3753879441645154</v>
      </c>
      <c r="Q33" s="341" t="n">
        <v>21.8230229020408473</v>
      </c>
      <c r="R33" s="341" t="n">
        <v>3.28508207701241473</v>
      </c>
      <c r="S33" s="341" t="n">
        <v>101.610063999999994</v>
      </c>
      <c r="T33" s="340" t="n">
        <v>0.115416075489610237</v>
      </c>
      <c r="U33" s="340" t="n">
        <v>0.0854595478498005257</v>
      </c>
      <c r="V33" s="340" t="n">
        <v>0.0582181535618939616</v>
      </c>
      <c r="W33" s="340" t="n">
        <v>1.00357256020258157</v>
      </c>
      <c r="X33" s="340" t="n">
        <v>0.114466932347572392</v>
      </c>
      <c r="Y33" s="340" t="n">
        <v>0.465392662589158324</v>
      </c>
      <c r="Z33" s="340" t="n">
        <v>0.465392662589158324</v>
      </c>
    </row>
    <row r="34" spans="1:26" s="290" customFormat="1" ht="11.45">
      <c r="A34" s="339" t="s">
        <v>481</v>
      </c>
      <c r="B34" s="124" t="n">
        <v>412</v>
      </c>
      <c r="C34" s="340" t="n">
        <v>0.0986782089599999956</v>
      </c>
      <c r="D34" s="340" t="n">
        <v>0.0565769960722027232</v>
      </c>
      <c r="E34" s="340" t="n">
        <v>0.0692776022840080241</v>
      </c>
      <c r="F34" s="340" t="n">
        <v>0.235912602222068823</v>
      </c>
      <c r="G34" s="341" t="n">
        <v>0.693778480498540961</v>
      </c>
      <c r="H34" s="341" t="n">
        <v>0.892977523000000062</v>
      </c>
      <c r="I34" s="340" t="n">
        <v>0.0794646064259999729</v>
      </c>
      <c r="J34" s="340" t="n">
        <v>0.344788949000000011</v>
      </c>
      <c r="K34" s="340" t="n">
        <v>0.0461000000000000032</v>
      </c>
      <c r="L34" s="340" t="n">
        <v>0.333753947887978741</v>
      </c>
      <c r="M34" s="340" t="n">
        <v>0.0645394514730761593</v>
      </c>
      <c r="N34" s="341" t="n">
        <v>1.41334230602246969</v>
      </c>
      <c r="O34" s="341" t="n">
        <v>1.1962791780618296</v>
      </c>
      <c r="P34" s="341" t="n">
        <v>13.0727754183533431</v>
      </c>
      <c r="Q34" s="341" t="n">
        <v>20.6763592983117448</v>
      </c>
      <c r="R34" s="341" t="n">
        <v>1.92660813568077689</v>
      </c>
      <c r="S34" s="341" t="n">
        <v>51.7210748199999983</v>
      </c>
      <c r="T34" s="340" t="n">
        <v>0.14962038056082319</v>
      </c>
      <c r="U34" s="340" t="n">
        <v>0.0447274437121534341</v>
      </c>
      <c r="V34" s="340" t="n">
        <v>0.026265032917084592</v>
      </c>
      <c r="W34" s="340" t="n">
        <v>0.867700075923445979</v>
      </c>
      <c r="X34" s="340" t="n">
        <v>0.103259775002204512</v>
      </c>
      <c r="Y34" s="340" t="n">
        <v>0.37536594852051679</v>
      </c>
      <c r="Z34" s="340" t="n">
        <v>0.375365948520516968</v>
      </c>
    </row>
    <row r="35" spans="1:26" s="290" customFormat="1" ht="11.45">
      <c r="A35" s="339" t="s">
        <v>482</v>
      </c>
      <c r="B35" s="124" t="n">
        <v>1030</v>
      </c>
      <c r="C35" s="340" t="n">
        <v>0.154227240400000003</v>
      </c>
      <c r="D35" s="340" t="n">
        <v>0.0753198791184994132</v>
      </c>
      <c r="E35" s="340" t="n">
        <v>0.00400561459183160196</v>
      </c>
      <c r="F35" s="340" t="n">
        <v>0.23833539259218699</v>
      </c>
      <c r="G35" s="341" t="n">
        <v>0.154516734447411519</v>
      </c>
      <c r="H35" s="341" t="n">
        <v>0.82153055600000009</v>
      </c>
      <c r="I35" s="340" t="n">
        <v>0.07503489447199998</v>
      </c>
      <c r="J35" s="340" t="n">
        <v>0.359757745000000018</v>
      </c>
      <c r="K35" s="340" t="n">
        <v>0.0461000000000000032</v>
      </c>
      <c r="L35" s="340" t="n">
        <v>0.864289021912077082</v>
      </c>
      <c r="M35" s="340" t="n">
        <v>0.0402132736305967953</v>
      </c>
      <c r="N35" s="341" t="n">
        <v>0.0648224948705276027</v>
      </c>
      <c r="O35" s="341" t="n">
        <v>16.2632598777689807</v>
      </c>
      <c r="P35" s="341" t="n">
        <v>148.893096881739069</v>
      </c>
      <c r="Q35" s="341" t="s">
        <v>457</v>
      </c>
      <c r="R35" s="341" t="n">
        <v>1.46478692944492028</v>
      </c>
      <c r="S35" s="341" t="n">
        <v>125.587465199999997</v>
      </c>
      <c r="T35" s="340" t="s">
        <v>457</v>
      </c>
      <c r="U35" s="340" t="n">
        <v>0.072664347762492989</v>
      </c>
      <c r="V35" s="340" t="n">
        <v>0.101799562292964296</v>
      </c>
      <c r="W35" s="340" t="n">
        <v>2.05943561973101419</v>
      </c>
      <c r="X35" s="340" t="n">
        <v>0.208060484925806399</v>
      </c>
      <c r="Y35" s="340" t="n">
        <v>0.227774880838808391</v>
      </c>
      <c r="Z35" s="340" t="n">
        <v>0.227774880838808391</v>
      </c>
    </row>
    <row r="36" spans="1:26" s="290" customFormat="1" ht="11.45">
      <c r="A36" s="339" t="s">
        <v>483</v>
      </c>
      <c r="B36" s="124" t="n">
        <v>1270</v>
      </c>
      <c r="C36" s="340" t="n">
        <v>0.0704817400900000113</v>
      </c>
      <c r="D36" s="340" t="n">
        <v>0.090820500141064997</v>
      </c>
      <c r="E36" s="340" t="n">
        <v>0.139899302579219453</v>
      </c>
      <c r="F36" s="340" t="n">
        <v>0.252634339084057347</v>
      </c>
      <c r="G36" s="341" t="n">
        <v>0.715795353830655845</v>
      </c>
      <c r="H36" s="341" t="n">
        <v>0.811458310000000083</v>
      </c>
      <c r="I36" s="340" t="n">
        <v>0.074410415220000008</v>
      </c>
      <c r="J36" s="340" t="n">
        <v>0.33814143200000002</v>
      </c>
      <c r="K36" s="340" t="n">
        <v>0.0461000000000000032</v>
      </c>
      <c r="L36" s="340" t="n">
        <v>0.199026372318832792</v>
      </c>
      <c r="M36" s="340" t="n">
        <v>0.0665160649672754012</v>
      </c>
      <c r="N36" s="341" t="n">
        <v>1.8505349276407939</v>
      </c>
      <c r="O36" s="341" t="n">
        <v>1.68935930573226623</v>
      </c>
      <c r="P36" s="341" t="n">
        <v>13.0147609718588146</v>
      </c>
      <c r="Q36" s="341" t="n">
        <v>18.4143492137265596</v>
      </c>
      <c r="R36" s="341" t="n">
        <v>2.77462179878894011</v>
      </c>
      <c r="S36" s="341" t="n">
        <v>45.3242051100000012</v>
      </c>
      <c r="T36" s="340" t="n">
        <v>0.105164635050716138</v>
      </c>
      <c r="U36" s="340" t="n">
        <v>0.0433426945690626653</v>
      </c>
      <c r="V36" s="340" t="n">
        <v>0.0473970843558684152</v>
      </c>
      <c r="W36" s="340" t="n">
        <v>0.730732299635970062</v>
      </c>
      <c r="X36" s="340" t="n">
        <v>0.121535823160126921</v>
      </c>
      <c r="Y36" s="340" t="n">
        <v>0.519488158408362732</v>
      </c>
      <c r="Z36" s="340" t="n">
        <v>0.519488158408362732</v>
      </c>
    </row>
    <row r="37" spans="1:26" s="290" customFormat="1" ht="11.45">
      <c r="A37" s="339" t="s">
        <v>484</v>
      </c>
      <c r="B37" s="124" t="n">
        <v>148</v>
      </c>
      <c r="C37" s="340" t="n">
        <v>0.142947878800000012</v>
      </c>
      <c r="D37" s="340" t="n">
        <v>0.0270672216257608511</v>
      </c>
      <c r="E37" s="340" t="n">
        <v>0.124001159961142182</v>
      </c>
      <c r="F37" s="340" t="n">
        <v>0.284186682941108195</v>
      </c>
      <c r="G37" s="341" t="n">
        <v>0.622054897865602818</v>
      </c>
      <c r="H37" s="341" t="n">
        <v>0.835996543999999986</v>
      </c>
      <c r="I37" s="340" t="n">
        <v>0.0759317857279999675</v>
      </c>
      <c r="J37" s="340" t="n">
        <v>0.334391746000000012</v>
      </c>
      <c r="K37" s="340" t="n">
        <v>0.0461000000000000032</v>
      </c>
      <c r="L37" s="340" t="n">
        <v>0.372861722552388075</v>
      </c>
      <c r="M37" s="340" t="n">
        <v>0.060575022386243651</v>
      </c>
      <c r="N37" s="341" t="n">
        <v>5.60510011341878123</v>
      </c>
      <c r="O37" s="341" t="n">
        <v>0.461037310622147789</v>
      </c>
      <c r="P37" s="341" t="n">
        <v>10.4266274978342182</v>
      </c>
      <c r="Q37" s="341" t="n">
        <v>16.9236044529343168</v>
      </c>
      <c r="R37" s="341" t="n">
        <v>1.93983157024115762</v>
      </c>
      <c r="S37" s="341" t="n">
        <v>62.9319471000000021</v>
      </c>
      <c r="T37" s="340" t="n">
        <v>0.0473791436980947189</v>
      </c>
      <c r="U37" s="340" t="n">
        <v>0.0147443152974004965</v>
      </c>
      <c r="V37" s="340" t="n">
        <v>0.0083061733694754647</v>
      </c>
      <c r="W37" s="340" t="n">
        <v>0.279802820108047623</v>
      </c>
      <c r="X37" s="340" t="n">
        <v>0.105354400877777321</v>
      </c>
      <c r="Y37" s="340" t="n">
        <v>0.47431948064603926</v>
      </c>
      <c r="Z37" s="340" t="n">
        <v>0.474319480646039349</v>
      </c>
    </row>
    <row r="38" spans="1:26" s="290" customFormat="1" ht="11.45">
      <c r="A38" s="339" t="s">
        <v>485</v>
      </c>
      <c r="B38" s="124" t="n">
        <v>316</v>
      </c>
      <c r="C38" s="340" t="n">
        <v>0.0694366808499999966</v>
      </c>
      <c r="D38" s="340" t="n">
        <v>0.0820287734802446167</v>
      </c>
      <c r="E38" s="340" t="n">
        <v>0.192616145639604852</v>
      </c>
      <c r="F38" s="340" t="n">
        <v>0.18029651965582616</v>
      </c>
      <c r="G38" s="341" t="n">
        <v>0.9337853687961017</v>
      </c>
      <c r="H38" s="341" t="n">
        <v>0.96238829800000012</v>
      </c>
      <c r="I38" s="340" t="n">
        <v>0.0837680744759999918</v>
      </c>
      <c r="J38" s="340" t="n">
        <v>0.333988461000000081</v>
      </c>
      <c r="K38" s="340" t="n">
        <v>0.0461000000000000032</v>
      </c>
      <c r="L38" s="340" t="n">
        <v>0.176835838787061839</v>
      </c>
      <c r="M38" s="340" t="n">
        <v>0.0750991387775440522</v>
      </c>
      <c r="N38" s="341" t="n">
        <v>2.80617405545998899</v>
      </c>
      <c r="O38" s="341" t="n">
        <v>1.40834155434549508</v>
      </c>
      <c r="P38" s="341" t="n">
        <v>11.9460241832137566</v>
      </c>
      <c r="Q38" s="341" t="n">
        <v>17.2839523084125801</v>
      </c>
      <c r="R38" s="341" t="n">
        <v>2.84030879039138497</v>
      </c>
      <c r="S38" s="341" t="n">
        <v>58.1222691600000019</v>
      </c>
      <c r="T38" s="340" t="n">
        <v>0.0804839929788456843</v>
      </c>
      <c r="U38" s="340" t="n">
        <v>0.0338019531856290545</v>
      </c>
      <c r="V38" s="340" t="n">
        <v>0.0603772121963313246</v>
      </c>
      <c r="W38" s="340" t="n">
        <v>0.861988297587122965</v>
      </c>
      <c r="X38" s="340" t="n">
        <v>0.208315332381459362</v>
      </c>
      <c r="Y38" s="340" t="n">
        <v>0.405139289778324141</v>
      </c>
      <c r="Z38" s="340" t="n">
        <v>0.405139289778324141</v>
      </c>
    </row>
    <row r="39" spans="1:26" s="290" customFormat="1" ht="11.45">
      <c r="A39" s="339" t="s">
        <v>486</v>
      </c>
      <c r="B39" s="124" t="n">
        <v>181</v>
      </c>
      <c r="C39" s="340" t="n">
        <v>0.0929313253000000117</v>
      </c>
      <c r="D39" s="340" t="n">
        <v>0.358609173552897387</v>
      </c>
      <c r="E39" s="340" t="n">
        <v>0.0746015227650545576</v>
      </c>
      <c r="F39" s="340" t="n">
        <v>0.174533804882187198</v>
      </c>
      <c r="G39" s="341" t="n">
        <v>0.756926222246270086</v>
      </c>
      <c r="H39" s="341" t="n">
        <v>1.15320188299999993</v>
      </c>
      <c r="I39" s="340" t="n">
        <v>0.0955985167460000085</v>
      </c>
      <c r="J39" s="340" t="n">
        <v>0.380770285000000008</v>
      </c>
      <c r="K39" s="340" t="n">
        <v>0.0461000000000000032</v>
      </c>
      <c r="L39" s="340" t="n">
        <v>0.435659340310002285</v>
      </c>
      <c r="M39" s="340" t="n">
        <v>0.0690873621107179225</v>
      </c>
      <c r="N39" s="341" t="n">
        <v>0.232196973167238729</v>
      </c>
      <c r="O39" s="341" t="n">
        <v>7.36937947974378904</v>
      </c>
      <c r="P39" s="341" t="n">
        <v>11.7146584059925765</v>
      </c>
      <c r="Q39" s="341" t="n">
        <v>20.3498040337403268</v>
      </c>
      <c r="R39" s="341" t="n">
        <v>1.64825340129624482</v>
      </c>
      <c r="S39" s="341" t="n">
        <v>90.2724125799999939</v>
      </c>
      <c r="T39" s="340" t="n">
        <v>-0.0657799379416833752</v>
      </c>
      <c r="U39" s="340" t="n">
        <v>0.30266328366417321</v>
      </c>
      <c r="V39" s="340" t="n">
        <v>0.108582883312970724</v>
      </c>
      <c r="W39" s="340" t="n">
        <v>0.462684331589582154</v>
      </c>
      <c r="X39" s="340" t="n">
        <v>0.101199984773105256</v>
      </c>
      <c r="Y39" s="340" t="n">
        <v>0.906179779377788464</v>
      </c>
      <c r="Z39" s="340" t="n">
        <v>0.906179779377788464</v>
      </c>
    </row>
    <row r="40" spans="1:26" s="290" customFormat="1" ht="11.45">
      <c r="A40" s="339" t="s">
        <v>487</v>
      </c>
      <c r="B40" s="124" t="n">
        <v>696</v>
      </c>
      <c r="C40" s="340" t="n">
        <v>0.115588162199999989</v>
      </c>
      <c r="D40" s="340" t="n">
        <v>0.153798772756869599</v>
      </c>
      <c r="E40" s="340" t="n">
        <v>0.15290816215990608</v>
      </c>
      <c r="F40" s="340" t="n">
        <v>0.171786431939022011</v>
      </c>
      <c r="G40" s="341" t="n">
        <v>1.00287599265053329</v>
      </c>
      <c r="H40" s="341" t="n">
        <v>1.06541712</v>
      </c>
      <c r="I40" s="340" t="n">
        <v>0.0901558614400000025</v>
      </c>
      <c r="J40" s="340" t="n">
        <v>0.499240525000000002</v>
      </c>
      <c r="K40" s="340" t="n">
        <v>0.0491000000000000014</v>
      </c>
      <c r="L40" s="340" t="n">
        <v>0.138786140073968035</v>
      </c>
      <c r="M40" s="340" t="n">
        <v>0.0827794903119900027</v>
      </c>
      <c r="N40" s="341" t="n">
        <v>1.07641923239270709</v>
      </c>
      <c r="O40" s="341" t="n">
        <v>4.09540840494467595</v>
      </c>
      <c r="P40" s="341" t="n">
        <v>17.2053004704228449</v>
      </c>
      <c r="Q40" s="341" t="n">
        <v>26.7067853431046096</v>
      </c>
      <c r="R40" s="341" t="n">
        <v>3.66831009053009538</v>
      </c>
      <c r="S40" s="341" t="n">
        <v>63.8226397399999996</v>
      </c>
      <c r="T40" s="340" t="n">
        <v>0.247777789728315145</v>
      </c>
      <c r="U40" s="340" t="n">
        <v>0.0469444983469426447</v>
      </c>
      <c r="V40" s="340" t="n">
        <v>0.0932965078527316649</v>
      </c>
      <c r="W40" s="340" t="n">
        <v>0.856582374509557098</v>
      </c>
      <c r="X40" s="340" t="n">
        <v>0.106939272015357734</v>
      </c>
      <c r="Y40" s="340" t="n">
        <v>0.398595014844785211</v>
      </c>
      <c r="Z40" s="340" t="n">
        <v>0.398595014844785211</v>
      </c>
    </row>
    <row r="41" spans="1:26" s="290" customFormat="1" ht="11.45">
      <c r="A41" s="339" t="s">
        <v>488</v>
      </c>
      <c r="B41" s="124" t="n">
        <v>355</v>
      </c>
      <c r="C41" s="340" t="n">
        <v>0.155468962300000051</v>
      </c>
      <c r="D41" s="340" t="n">
        <v>0.0484847592183046405</v>
      </c>
      <c r="E41" s="340" t="n">
        <v>0.351792325937584227</v>
      </c>
      <c r="F41" s="340" t="n">
        <v>0.306924022122234907</v>
      </c>
      <c r="G41" s="341" t="n">
        <v>0.871299419732348923</v>
      </c>
      <c r="H41" s="341" t="n">
        <v>0.961655923000000001</v>
      </c>
      <c r="I41" s="340" t="n">
        <v>0.0837226672259999738</v>
      </c>
      <c r="J41" s="340" t="n">
        <v>0.423862322000000002</v>
      </c>
      <c r="K41" s="340" t="n">
        <v>0.0491000000000000014</v>
      </c>
      <c r="L41" s="340" t="n">
        <v>0.209260342442078073</v>
      </c>
      <c r="M41" s="340" t="n">
        <v>0.0739468616489640684</v>
      </c>
      <c r="N41" s="341" t="n">
        <v>8.76972396886745642</v>
      </c>
      <c r="O41" s="341" t="n">
        <v>0.690614824579280473</v>
      </c>
      <c r="P41" s="341" t="n">
        <v>10.9726413689418791</v>
      </c>
      <c r="Q41" s="341" t="n">
        <v>14.0795496886960603</v>
      </c>
      <c r="R41" s="341" t="n">
        <v>2.89791278434910069</v>
      </c>
      <c r="S41" s="341" t="n">
        <v>84.7230236999999988</v>
      </c>
      <c r="T41" s="340" t="n">
        <v>-0.018492768789414086</v>
      </c>
      <c r="U41" s="340" t="n">
        <v>0.00981007411163198384</v>
      </c>
      <c r="V41" s="340" t="n">
        <v>0.0196731144796362791</v>
      </c>
      <c r="W41" s="340" t="n">
        <v>0.67729169430485614</v>
      </c>
      <c r="X41" s="340" t="n">
        <v>0.14756030888450824</v>
      </c>
      <c r="Y41" s="340" t="n">
        <v>0.256712074114055344</v>
      </c>
      <c r="Z41" s="340" t="n">
        <v>0.256712074114055344</v>
      </c>
    </row>
    <row r="42" spans="1:26" s="290" customFormat="1" ht="11.45">
      <c r="A42" s="339" t="s">
        <v>489</v>
      </c>
      <c r="B42" s="124" t="n">
        <v>339</v>
      </c>
      <c r="C42" s="340" t="n">
        <v>0.10740043749999999</v>
      </c>
      <c r="D42" s="340" t="n">
        <v>0.134435465094500994</v>
      </c>
      <c r="E42" s="340" t="n">
        <v>0.151818505814781286</v>
      </c>
      <c r="F42" s="340" t="n">
        <v>0.191035831577649606</v>
      </c>
      <c r="G42" s="341" t="n">
        <v>0.981613439634849883</v>
      </c>
      <c r="H42" s="341" t="n">
        <v>1.04943125899999989</v>
      </c>
      <c r="I42" s="340" t="n">
        <v>0.0891647380579999904</v>
      </c>
      <c r="J42" s="340" t="n">
        <v>0.503753356999999991</v>
      </c>
      <c r="K42" s="340" t="n">
        <v>0.0491000000000000014</v>
      </c>
      <c r="L42" s="340" t="n">
        <v>0.132548428874315594</v>
      </c>
      <c r="M42" s="340" t="n">
        <v>0.082251268083792457</v>
      </c>
      <c r="N42" s="341" t="n">
        <v>1.2182513927746339</v>
      </c>
      <c r="O42" s="341" t="n">
        <v>5.05050182439242334</v>
      </c>
      <c r="P42" s="341" t="n">
        <v>21.6461454669510225</v>
      </c>
      <c r="Q42" s="341" t="n">
        <v>37.4226651622593778</v>
      </c>
      <c r="R42" s="341" t="n">
        <v>4.42531870109820957</v>
      </c>
      <c r="S42" s="341" t="n">
        <v>124.876953200000003</v>
      </c>
      <c r="T42" s="340" t="n">
        <v>0.196119990255471954</v>
      </c>
      <c r="U42" s="340" t="n">
        <v>0.0514864754384650158</v>
      </c>
      <c r="V42" s="340" t="n">
        <v>0.106762364444315505</v>
      </c>
      <c r="W42" s="340" t="n">
        <v>1.21748252722251871</v>
      </c>
      <c r="X42" s="340" t="n">
        <v>0.100681926689583223</v>
      </c>
      <c r="Y42" s="340" t="n">
        <v>0.16981129115534741</v>
      </c>
      <c r="Z42" s="340" t="n">
        <v>0.169811291155347455</v>
      </c>
    </row>
    <row r="43" spans="1:26" s="290" customFormat="1" ht="11.45">
      <c r="A43" s="339" t="s">
        <v>490</v>
      </c>
      <c r="B43" s="124" t="n">
        <v>171</v>
      </c>
      <c r="C43" s="340" t="n">
        <v>0.0877303251999999922</v>
      </c>
      <c r="D43" s="340" t="n">
        <v>0.0951265708738476867</v>
      </c>
      <c r="E43" s="340" t="n">
        <v>0.0954298487530236095</v>
      </c>
      <c r="F43" s="340" t="n">
        <v>0.282824893494238374</v>
      </c>
      <c r="G43" s="341" t="n">
        <v>0.929999193959878312</v>
      </c>
      <c r="H43" s="341" t="n">
        <v>1.10165818500000001</v>
      </c>
      <c r="I43" s="340" t="n">
        <v>0.0924028074700000168</v>
      </c>
      <c r="J43" s="340" t="n">
        <v>0.386600094000000016</v>
      </c>
      <c r="K43" s="340" t="n">
        <v>0.0461000000000000032</v>
      </c>
      <c r="L43" s="340" t="n">
        <v>0.282104074200043833</v>
      </c>
      <c r="M43" s="340" t="n">
        <v>0.0761374658725935838</v>
      </c>
      <c r="N43" s="341" t="n">
        <v>1.2816479523177582</v>
      </c>
      <c r="O43" s="341" t="n">
        <v>1.3387558683028058</v>
      </c>
      <c r="P43" s="341" t="n">
        <v>10.2851063830552167</v>
      </c>
      <c r="Q43" s="341" t="n">
        <v>13.4878335808144936</v>
      </c>
      <c r="R43" s="341" t="n">
        <v>1.86056813523880908</v>
      </c>
      <c r="S43" s="341" t="n">
        <v>17.6338496400000011</v>
      </c>
      <c r="T43" s="340" t="n">
        <v>0.619773435662937633</v>
      </c>
      <c r="U43" s="340" t="n">
        <v>0.00939825760258227128</v>
      </c>
      <c r="V43" s="340" t="n">
        <v>0.013238244222822948</v>
      </c>
      <c r="W43" s="340" t="n">
        <v>0.519276004954523618</v>
      </c>
      <c r="X43" s="340" t="n">
        <v>0.124479595003359611</v>
      </c>
      <c r="Y43" s="340" t="n">
        <v>0.230356557378196092</v>
      </c>
      <c r="Z43" s="340" t="n">
        <v>0.230356557378196003</v>
      </c>
    </row>
    <row r="44" spans="1:26" s="290" customFormat="1" ht="11.45">
      <c r="A44" s="339" t="s">
        <v>491</v>
      </c>
      <c r="B44" s="124" t="n">
        <v>198</v>
      </c>
      <c r="C44" s="340" t="n">
        <v>0.0846609836100000024</v>
      </c>
      <c r="D44" s="340" t="n">
        <v>0.0824821705805240946</v>
      </c>
      <c r="E44" s="340" t="n">
        <v>0.0837702173340618472</v>
      </c>
      <c r="F44" s="340" t="n">
        <v>0.252535687852195645</v>
      </c>
      <c r="G44" s="341" t="n">
        <v>0.577423478147815139</v>
      </c>
      <c r="H44" s="341" t="n">
        <v>0.903467661999999905</v>
      </c>
      <c r="I44" s="340" t="n">
        <v>0.0801149950439999969</v>
      </c>
      <c r="J44" s="340" t="n">
        <v>0.37722668399999999</v>
      </c>
      <c r="K44" s="340" t="n">
        <v>0.0461000000000000032</v>
      </c>
      <c r="L44" s="340" t="n">
        <v>0.446940436519020778</v>
      </c>
      <c r="M44" s="340" t="n">
        <v>0.0598375644102176363</v>
      </c>
      <c r="N44" s="341" t="n">
        <v>1.21245752046313737</v>
      </c>
      <c r="O44" s="341" t="n">
        <v>1.90527547040327416</v>
      </c>
      <c r="P44" s="341" t="n">
        <v>11.2548089694308668</v>
      </c>
      <c r="Q44" s="341" t="n">
        <v>22.9846531594768315</v>
      </c>
      <c r="R44" s="341" t="n">
        <v>3.10730302331223918</v>
      </c>
      <c r="S44" s="341" t="n">
        <v>45.7474184900000012</v>
      </c>
      <c r="T44" s="340" t="n">
        <v>0.0779663659488538663</v>
      </c>
      <c r="U44" s="340" t="n">
        <v>0.0618378486019123574</v>
      </c>
      <c r="V44" s="340" t="n">
        <v>0.0442467796094592547</v>
      </c>
      <c r="W44" s="340" t="n">
        <v>1.27877024274674311</v>
      </c>
      <c r="X44" s="340" t="n">
        <v>0.101768208797250326</v>
      </c>
      <c r="Y44" s="340" t="n">
        <v>0.464464845652553926</v>
      </c>
      <c r="Z44" s="340" t="n">
        <v>0.464464845652553926</v>
      </c>
    </row>
    <row r="45" spans="1:26" s="290" customFormat="1" ht="11.45">
      <c r="A45" s="339" t="s">
        <v>492</v>
      </c>
      <c r="B45" s="124" t="n">
        <v>658</v>
      </c>
      <c r="C45" s="340" t="n">
        <v>0.141815766700000001</v>
      </c>
      <c r="D45" s="340" t="n">
        <v>0.136353863607196812</v>
      </c>
      <c r="E45" s="340" t="n">
        <v>0.0915369472796905015</v>
      </c>
      <c r="F45" s="340" t="n">
        <v>0.173323193882141897</v>
      </c>
      <c r="G45" s="341" t="n">
        <v>0.82742904606306471</v>
      </c>
      <c r="H45" s="341" t="n">
        <v>0.983557878999999957</v>
      </c>
      <c r="I45" s="340" t="n">
        <v>0.0850805884979999938</v>
      </c>
      <c r="J45" s="340" t="n">
        <v>0.352588385999999909</v>
      </c>
      <c r="K45" s="340" t="n">
        <v>0.0461000000000000032</v>
      </c>
      <c r="L45" s="340" t="n">
        <v>0.261985344745157844</v>
      </c>
      <c r="M45" s="340" t="n">
        <v>0.0718935513240475643</v>
      </c>
      <c r="N45" s="341" t="n">
        <v>0.77897468525635265</v>
      </c>
      <c r="O45" s="341" t="n">
        <v>3.14095877677918667</v>
      </c>
      <c r="P45" s="341" t="n">
        <v>13.2287449219066318</v>
      </c>
      <c r="Q45" s="341" t="n">
        <v>22.7510601793895617</v>
      </c>
      <c r="R45" s="341" t="n">
        <v>2.68072346888660684</v>
      </c>
      <c r="S45" s="341" t="n">
        <v>152.970331200000004</v>
      </c>
      <c r="T45" s="340" t="n">
        <v>-0.024489797583152435</v>
      </c>
      <c r="U45" s="340" t="n">
        <v>0.0890401787762751873</v>
      </c>
      <c r="V45" s="340" t="n">
        <v>0.0325246718339236862</v>
      </c>
      <c r="W45" s="340" t="n">
        <v>0.282510329967457618</v>
      </c>
      <c r="X45" s="340" t="n">
        <v>0.0952404911461126247</v>
      </c>
      <c r="Y45" s="340" t="n">
        <v>0.558618982414048393</v>
      </c>
      <c r="Z45" s="340" t="n">
        <v>0.558618982414048393</v>
      </c>
    </row>
    <row r="46" spans="1:26" s="290" customFormat="1" ht="11.45">
      <c r="A46" s="339" t="s">
        <v>493</v>
      </c>
      <c r="B46" s="124" t="n">
        <v>531</v>
      </c>
      <c r="C46" s="340" t="n">
        <v>0.0898797938099999882</v>
      </c>
      <c r="D46" s="340" t="n">
        <v>0.157415452012301564</v>
      </c>
      <c r="E46" s="340" t="n">
        <v>0.285253412575370504</v>
      </c>
      <c r="F46" s="340" t="n">
        <v>0.270325161188629881</v>
      </c>
      <c r="G46" s="341" t="n">
        <v>0.911659243081561677</v>
      </c>
      <c r="H46" s="341" t="n">
        <v>0.980041454000000023</v>
      </c>
      <c r="I46" s="340" t="n">
        <v>0.0848625701479999783</v>
      </c>
      <c r="J46" s="340" t="n">
        <v>0.399316559999999967</v>
      </c>
      <c r="K46" s="340" t="n">
        <v>0.0461000000000000032</v>
      </c>
      <c r="L46" s="340" t="n">
        <v>0.129903147052728185</v>
      </c>
      <c r="M46" s="340" t="n">
        <v>0.0783522141079327383</v>
      </c>
      <c r="N46" s="341" t="n">
        <v>2.12589591481436102</v>
      </c>
      <c r="O46" s="341" t="n">
        <v>3.07071190277384787</v>
      </c>
      <c r="P46" s="341" t="n">
        <v>16.2354485659632175</v>
      </c>
      <c r="Q46" s="341" t="n">
        <v>19.5006875458766693</v>
      </c>
      <c r="R46" s="341" t="n">
        <v>5.40826419203174336</v>
      </c>
      <c r="S46" s="341" t="n">
        <v>61.9989464900000016</v>
      </c>
      <c r="T46" s="340" t="n">
        <v>0.0701559163599905133</v>
      </c>
      <c r="U46" s="340" t="n">
        <v>0.0394360696996088009</v>
      </c>
      <c r="V46" s="340" t="n">
        <v>0.0854485319565554491</v>
      </c>
      <c r="W46" s="340" t="n">
        <v>0.773518823928697774</v>
      </c>
      <c r="X46" s="340" t="n">
        <v>0.252540190351823624</v>
      </c>
      <c r="Y46" s="340" t="n">
        <v>0.487120374672724754</v>
      </c>
      <c r="Z46" s="340" t="n">
        <v>0.487120374672724754</v>
      </c>
    </row>
    <row r="47" spans="1:26" s="290" customFormat="1" ht="11.45">
      <c r="A47" s="339" t="s">
        <v>494</v>
      </c>
      <c r="B47" s="124" t="n">
        <v>193</v>
      </c>
      <c r="C47" s="340" t="n">
        <v>0.125305537200000017</v>
      </c>
      <c r="D47" s="340" t="n">
        <v>0.240797064606391675</v>
      </c>
      <c r="E47" s="340" t="n">
        <v>0.314751020639487411</v>
      </c>
      <c r="F47" s="340" t="n">
        <v>0.313554006286526832</v>
      </c>
      <c r="G47" s="341" t="n">
        <v>1.23396279231575434</v>
      </c>
      <c r="H47" s="341" t="n">
        <v>1.3163519159999999</v>
      </c>
      <c r="I47" s="340" t="n">
        <v>0.105713818791999992</v>
      </c>
      <c r="J47" s="340" t="n">
        <v>0.406628451000000002</v>
      </c>
      <c r="K47" s="340" t="n">
        <v>0.0491000000000000014</v>
      </c>
      <c r="L47" s="340" t="n">
        <v>0.133539342903682301</v>
      </c>
      <c r="M47" s="340" t="n">
        <v>0.0965387112895307808</v>
      </c>
      <c r="N47" s="341" t="n">
        <v>1.57545646624708224</v>
      </c>
      <c r="O47" s="341" t="n">
        <v>5.6441258608309548</v>
      </c>
      <c r="P47" s="341" t="n">
        <v>18.343822191454521</v>
      </c>
      <c r="Q47" s="341" t="n">
        <v>23.2002773241925908</v>
      </c>
      <c r="R47" s="341" t="n">
        <v>7.13861657953808404</v>
      </c>
      <c r="S47" s="341" t="n">
        <v>43.9101789099999991</v>
      </c>
      <c r="T47" s="340" t="n">
        <v>-0.0273754447928503675</v>
      </c>
      <c r="U47" s="340" t="n">
        <v>0.0320721639653350143</v>
      </c>
      <c r="V47" s="340" t="n">
        <v>0.013826922401319508</v>
      </c>
      <c r="W47" s="340" t="n">
        <v>0.143772690075739469</v>
      </c>
      <c r="X47" s="340" t="n">
        <v>0.209734281426073244</v>
      </c>
      <c r="Y47" s="340" t="n">
        <v>0.280526863114179204</v>
      </c>
      <c r="Z47" s="340" t="n">
        <v>0.280526863114179204</v>
      </c>
    </row>
    <row r="48" spans="1:26" s="290" customFormat="1" ht="11.45">
      <c r="A48" s="339" t="s">
        <v>495</v>
      </c>
      <c r="B48" s="124" t="n">
        <v>220</v>
      </c>
      <c r="C48" s="340" t="n">
        <v>0.0892204907999999897</v>
      </c>
      <c r="D48" s="340" t="n">
        <v>0.0792207471502329774</v>
      </c>
      <c r="E48" s="340" t="n">
        <v>0.0996339557641005591</v>
      </c>
      <c r="F48" s="340" t="n">
        <v>0.247135591698226875</v>
      </c>
      <c r="G48" s="341" t="n">
        <v>0.716514231258313572</v>
      </c>
      <c r="H48" s="341" t="n">
        <v>0.782227911999999836</v>
      </c>
      <c r="I48" s="340" t="n">
        <v>0.0725981305439999858</v>
      </c>
      <c r="J48" s="340" t="n">
        <v>0.273841190000000001</v>
      </c>
      <c r="K48" s="340" t="n">
        <v>0.0461000000000000032</v>
      </c>
      <c r="L48" s="340" t="n">
        <v>0.292169965075887603</v>
      </c>
      <c r="M48" s="340" t="n">
        <v>0.0615387492518265855</v>
      </c>
      <c r="N48" s="341" t="n">
        <v>1.49277876685537381</v>
      </c>
      <c r="O48" s="341" t="n">
        <v>0.971296327132372639</v>
      </c>
      <c r="P48" s="341" t="n">
        <v>9.90656158599252201</v>
      </c>
      <c r="Q48" s="341" t="n">
        <v>11.9649720067188507</v>
      </c>
      <c r="R48" s="341" t="n">
        <v>1.25780816254272021</v>
      </c>
      <c r="S48" s="341" t="n">
        <v>24.6994416500000007</v>
      </c>
      <c r="T48" s="340" t="n">
        <v>-0.0465158491620636205</v>
      </c>
      <c r="U48" s="340" t="n">
        <v>0.00835580931762468992</v>
      </c>
      <c r="V48" s="340" t="n">
        <v>0.00622445092608665984</v>
      </c>
      <c r="W48" s="340" t="n">
        <v>0.231058089348510265</v>
      </c>
      <c r="X48" s="340" t="n">
        <v>0.0774597375969771029</v>
      </c>
      <c r="Y48" s="340" t="n">
        <v>0.505742216256487609</v>
      </c>
      <c r="Z48" s="340" t="n">
        <v>0.505742216256487609</v>
      </c>
    </row>
    <row r="49" spans="1:26" s="290" customFormat="1" ht="11.45">
      <c r="A49" s="339" t="s">
        <v>496</v>
      </c>
      <c r="B49" s="124" t="n">
        <v>128</v>
      </c>
      <c r="C49" s="340" t="n">
        <v>0.0691136956500000199</v>
      </c>
      <c r="D49" s="340" t="n">
        <v>0.0828644714022838258</v>
      </c>
      <c r="E49" s="340" t="n">
        <v>0.109678352389128243</v>
      </c>
      <c r="F49" s="340" t="n">
        <v>0.240234938766305461</v>
      </c>
      <c r="G49" s="341" t="n">
        <v>0.996012350040894567</v>
      </c>
      <c r="H49" s="341" t="n">
        <v>0.996172986000000016</v>
      </c>
      <c r="I49" s="340" t="n">
        <v>0.0858627251319999907</v>
      </c>
      <c r="J49" s="340" t="n">
        <v>0.277455760000000007</v>
      </c>
      <c r="K49" s="340" t="n">
        <v>0.0461000000000000032</v>
      </c>
      <c r="L49" s="340" t="n">
        <v>0.410918984202397297</v>
      </c>
      <c r="M49" s="340" t="n">
        <v>0.0648577156698421931</v>
      </c>
      <c r="N49" s="341" t="n">
        <v>1.57647038570353892</v>
      </c>
      <c r="O49" s="341" t="n">
        <v>0.951932795721203462</v>
      </c>
      <c r="P49" s="341" t="n">
        <v>9.42627607687480662</v>
      </c>
      <c r="Q49" s="341" t="n">
        <v>10.4886669638152394</v>
      </c>
      <c r="R49" s="341" t="n">
        <v>1.2594445273738808</v>
      </c>
      <c r="S49" s="341" t="n">
        <v>53.3390687699999972</v>
      </c>
      <c r="T49" s="340" t="n">
        <v>-0.96528779644169731</v>
      </c>
      <c r="U49" s="340" t="n">
        <v>0.00641331846541002282</v>
      </c>
      <c r="V49" s="340" t="n">
        <v>0.00452479808132140704</v>
      </c>
      <c r="W49" s="340" t="n">
        <v>0.12865380520161651</v>
      </c>
      <c r="X49" s="340" t="n">
        <v>0.078175288651923811</v>
      </c>
      <c r="Y49" s="340" t="n">
        <v>0.41085160325098764</v>
      </c>
      <c r="Z49" s="340" t="n">
        <v>0.41085160325098764</v>
      </c>
    </row>
    <row r="50" spans="1:26" s="290" customFormat="1" ht="11.45">
      <c r="A50" s="339" t="s">
        <v>497</v>
      </c>
      <c r="B50" s="124" t="n">
        <v>225</v>
      </c>
      <c r="C50" s="340" t="n">
        <v>0.0697510588200000026</v>
      </c>
      <c r="D50" s="340" t="n">
        <v>0.0819851993486694219</v>
      </c>
      <c r="E50" s="340" t="n">
        <v>0.0923945951362260587</v>
      </c>
      <c r="F50" s="340" t="n">
        <v>0.232276370998803872</v>
      </c>
      <c r="G50" s="341" t="n">
        <v>0.639435501877559709</v>
      </c>
      <c r="H50" s="341" t="n">
        <v>0.696061387999999948</v>
      </c>
      <c r="I50" s="340" t="n">
        <v>0.0672558060560000026</v>
      </c>
      <c r="J50" s="340" t="n">
        <v>0.306472966999999974</v>
      </c>
      <c r="K50" s="340" t="n">
        <v>0.0461000000000000032</v>
      </c>
      <c r="L50" s="340" t="n">
        <v>0.209871450793522385</v>
      </c>
      <c r="M50" s="340" t="n">
        <v>0.0604328356492873997</v>
      </c>
      <c r="N50" s="341" t="n">
        <v>1.35809858358543889</v>
      </c>
      <c r="O50" s="341" t="n">
        <v>1.12797299695092579</v>
      </c>
      <c r="P50" s="341" t="n">
        <v>11.1096530482865727</v>
      </c>
      <c r="Q50" s="341" t="n">
        <v>13.2633325850889783</v>
      </c>
      <c r="R50" s="341" t="n">
        <v>1.38907504778563172</v>
      </c>
      <c r="S50" s="341" t="n">
        <v>27.5076684200000017</v>
      </c>
      <c r="T50" s="340" t="n">
        <v>-0.361983922160624916</v>
      </c>
      <c r="U50" s="340" t="n">
        <v>0.00585119623994779126</v>
      </c>
      <c r="V50" s="340" t="n">
        <v>0.00538000392943790828</v>
      </c>
      <c r="W50" s="340" t="n">
        <v>0.295323312299272267</v>
      </c>
      <c r="X50" s="340" t="n">
        <v>0.0833383695073234421</v>
      </c>
      <c r="Y50" s="340" t="n">
        <v>0.403584020452464909</v>
      </c>
      <c r="Z50" s="340" t="n">
        <v>0.403584020452464909</v>
      </c>
    </row>
    <row r="51" spans="1:26" s="290" customFormat="1" ht="11.45">
      <c r="A51" s="339" t="s">
        <v>498</v>
      </c>
      <c r="B51" s="124" t="n">
        <v>1065</v>
      </c>
      <c r="C51" s="340" t="n">
        <v>0.126860740000000005</v>
      </c>
      <c r="D51" s="340" t="n">
        <v>0.192679363140389182</v>
      </c>
      <c r="E51" s="340" t="n">
        <v>0.0704692848080171519</v>
      </c>
      <c r="F51" s="340" t="n">
        <v>0.206283354675527342</v>
      </c>
      <c r="G51" s="341" t="n">
        <v>0.656824597647315578</v>
      </c>
      <c r="H51" s="341" t="n">
        <v>0.882462941000000001</v>
      </c>
      <c r="I51" s="340" t="n">
        <v>0.0788127023419999873</v>
      </c>
      <c r="J51" s="340" t="n">
        <v>0.383670170999999982</v>
      </c>
      <c r="K51" s="340" t="n">
        <v>0.0461000000000000032</v>
      </c>
      <c r="L51" s="340" t="n">
        <v>0.417462593657979131</v>
      </c>
      <c r="M51" s="340" t="n">
        <v>0.0604163229794392898</v>
      </c>
      <c r="N51" s="341" t="n">
        <v>0.397714460368135967</v>
      </c>
      <c r="O51" s="341" t="n">
        <v>5.01368030989797653</v>
      </c>
      <c r="P51" s="341" t="n">
        <v>21.3545030657454866</v>
      </c>
      <c r="Q51" s="341" t="n">
        <v>23.8581913380916006</v>
      </c>
      <c r="R51" s="341" t="n">
        <v>1.60627337023091554</v>
      </c>
      <c r="S51" s="341" t="n">
        <v>158.421140400000013</v>
      </c>
      <c r="T51" s="340" t="s">
        <v>457</v>
      </c>
      <c r="U51" s="340" t="n">
        <v>0.021898341171987239</v>
      </c>
      <c r="V51" s="340" t="n">
        <v>0.0684333386527626431</v>
      </c>
      <c r="W51" s="340" t="n">
        <v>0.527304964090905237</v>
      </c>
      <c r="X51" s="340" t="n">
        <v>0.12235952034084272</v>
      </c>
      <c r="Y51" s="340" t="n">
        <v>0.37734117744577218</v>
      </c>
      <c r="Z51" s="340" t="n">
        <v>0.37734117744577218</v>
      </c>
    </row>
    <row r="52" spans="1:26" s="290" customFormat="1" ht="11.45">
      <c r="A52" s="339" t="s">
        <v>499</v>
      </c>
      <c r="B52" s="124" t="n">
        <v>1309</v>
      </c>
      <c r="C52" s="340" t="n">
        <v>0.0383524102599999992</v>
      </c>
      <c r="D52" s="340" t="n">
        <v>0.09945159259227216</v>
      </c>
      <c r="E52" s="340" t="n">
        <v>0.130323433091050522</v>
      </c>
      <c r="F52" s="340" t="n">
        <v>0.25610920449560286</v>
      </c>
      <c r="G52" s="341" t="n">
        <v>1.12665320251320722</v>
      </c>
      <c r="H52" s="341" t="n">
        <v>1.17000631000000022</v>
      </c>
      <c r="I52" s="340" t="n">
        <v>0.0966403912200000015</v>
      </c>
      <c r="J52" s="340" t="n">
        <v>0.354393533999999999</v>
      </c>
      <c r="K52" s="340" t="n">
        <v>0.0461000000000000032</v>
      </c>
      <c r="L52" s="340" t="n">
        <v>0.140324904725618644</v>
      </c>
      <c r="M52" s="340" t="n">
        <v>0.0879550063292942674</v>
      </c>
      <c r="N52" s="341" t="n">
        <v>1.60363189402044064</v>
      </c>
      <c r="O52" s="341" t="n">
        <v>2.01539236471130501</v>
      </c>
      <c r="P52" s="341" t="n">
        <v>14.2346702703597785</v>
      </c>
      <c r="Q52" s="341" t="n">
        <v>20.0651070721481233</v>
      </c>
      <c r="R52" s="341" t="n">
        <v>3.01334806365444274</v>
      </c>
      <c r="S52" s="341" t="n">
        <v>43.7605284600000033</v>
      </c>
      <c r="T52" s="340" t="n">
        <v>0.247534049459519911</v>
      </c>
      <c r="U52" s="340" t="n">
        <v>0.0365878721663218442</v>
      </c>
      <c r="V52" s="340" t="n">
        <v>0.0453694653449424923</v>
      </c>
      <c r="W52" s="340" t="n">
        <v>0.842452953786030712</v>
      </c>
      <c r="X52" s="340" t="n">
        <v>0.122157788291479386</v>
      </c>
      <c r="Y52" s="340" t="n">
        <v>0.38935572543686586</v>
      </c>
      <c r="Z52" s="340" t="n">
        <v>0.38935572543686586</v>
      </c>
    </row>
    <row r="53" spans="1:26" s="290" customFormat="1" ht="11.45">
      <c r="A53" s="339" t="s">
        <v>500</v>
      </c>
      <c r="B53" s="124" t="n">
        <v>1594</v>
      </c>
      <c r="C53" s="340" t="n">
        <v>0.0250229374999999976</v>
      </c>
      <c r="D53" s="340" t="n">
        <v>0.124645848807789417</v>
      </c>
      <c r="E53" s="340" t="n">
        <v>0.118560691059755396</v>
      </c>
      <c r="F53" s="340" t="n">
        <v>0.326233205284941219</v>
      </c>
      <c r="G53" s="341" t="n">
        <v>1.33384293276949117</v>
      </c>
      <c r="H53" s="341" t="n">
        <v>1.55181299599999996</v>
      </c>
      <c r="I53" s="340" t="n">
        <v>0.120312405751999996</v>
      </c>
      <c r="J53" s="340" t="n">
        <v>0.732494555999999886</v>
      </c>
      <c r="K53" s="340" t="n">
        <v>0.0565999999999999925</v>
      </c>
      <c r="L53" s="340" t="n">
        <v>0.25597321160819515</v>
      </c>
      <c r="M53" s="340" t="n">
        <v>0.10043532159809514</v>
      </c>
      <c r="N53" s="341" t="n">
        <v>0.99654385205036391</v>
      </c>
      <c r="O53" s="341" t="n">
        <v>1.82001440166463837</v>
      </c>
      <c r="P53" s="341" t="n">
        <v>8.61702656248660404</v>
      </c>
      <c r="Q53" s="341" t="n">
        <v>14.0891979692380485</v>
      </c>
      <c r="R53" s="341" t="n">
        <v>1.89371442624883262</v>
      </c>
      <c r="S53" s="341" t="n">
        <v>57.4161383200000017</v>
      </c>
      <c r="T53" s="340" t="n">
        <v>0.0912528027192522906</v>
      </c>
      <c r="U53" s="340" t="n">
        <v>0.0706042235992312328</v>
      </c>
      <c r="V53" s="340" t="n">
        <v>0.0217645756906017596</v>
      </c>
      <c r="W53" s="340" t="n">
        <v>0.476818732481526464</v>
      </c>
      <c r="X53" s="340" t="n">
        <v>0.0993485857658018467</v>
      </c>
      <c r="Y53" s="340" t="n">
        <v>0.441232512903390806</v>
      </c>
      <c r="Z53" s="340" t="n">
        <v>0.441232512903390717</v>
      </c>
    </row>
    <row r="54" spans="1:26" s="290" customFormat="1" ht="11.45">
      <c r="A54" s="339" t="s">
        <v>501</v>
      </c>
      <c r="B54" s="124" t="n">
        <v>157</v>
      </c>
      <c r="C54" s="340" t="n">
        <v>0.0257047008500000018</v>
      </c>
      <c r="D54" s="340" t="n">
        <v>0.0855451894494649778</v>
      </c>
      <c r="E54" s="340" t="n">
        <v>0.138544697159076581</v>
      </c>
      <c r="F54" s="340" t="n">
        <v>0.295969501095135321</v>
      </c>
      <c r="G54" s="341" t="n">
        <v>0.853767027369860898</v>
      </c>
      <c r="H54" s="341" t="n">
        <v>0.954128230000000066</v>
      </c>
      <c r="I54" s="340" t="n">
        <v>0.0832559502600000023</v>
      </c>
      <c r="J54" s="340" t="n">
        <v>0.381713835999999951</v>
      </c>
      <c r="K54" s="340" t="n">
        <v>0.0461000000000000032</v>
      </c>
      <c r="L54" s="340" t="n">
        <v>0.24152536747015958</v>
      </c>
      <c r="M54" s="340" t="n">
        <v>0.071539462841586321</v>
      </c>
      <c r="N54" s="341" t="n">
        <v>1.97833914888528</v>
      </c>
      <c r="O54" s="341" t="n">
        <v>1.24626703398678962</v>
      </c>
      <c r="P54" s="341" t="n">
        <v>9.12253504881440058</v>
      </c>
      <c r="Q54" s="341" t="n">
        <v>14.4863417514773083</v>
      </c>
      <c r="R54" s="341" t="n">
        <v>2.56572931460356868</v>
      </c>
      <c r="S54" s="341" t="n">
        <v>49.8710564599999984</v>
      </c>
      <c r="T54" s="340" t="n">
        <v>0.123085473339019513</v>
      </c>
      <c r="U54" s="340" t="n">
        <v>0.0365147788874015378</v>
      </c>
      <c r="V54" s="340" t="n">
        <v>0.0288631962015654064</v>
      </c>
      <c r="W54" s="340" t="n">
        <v>0.4689996036260065</v>
      </c>
      <c r="X54" s="340" t="n">
        <v>0.0810895016663389612</v>
      </c>
      <c r="Y54" s="340" t="n">
        <v>0.55902951404408272</v>
      </c>
      <c r="Z54" s="340" t="n">
        <v>0.55902951404408272</v>
      </c>
    </row>
    <row r="55" spans="1:26" s="290" customFormat="1" ht="11.45">
      <c r="A55" s="339" t="s">
        <v>502</v>
      </c>
      <c r="B55" s="124" t="n">
        <v>48</v>
      </c>
      <c r="C55" s="340" t="n">
        <v>-0.0282934210500000027</v>
      </c>
      <c r="D55" s="340" t="n">
        <v>0.0567709042085675897</v>
      </c>
      <c r="E55" s="340" t="n">
        <v>0.0462632274222118678</v>
      </c>
      <c r="F55" s="340" t="n">
        <v>0.287084112852857309</v>
      </c>
      <c r="G55" s="341" t="n">
        <v>1.2203417876504441</v>
      </c>
      <c r="H55" s="341" t="n">
        <v>1.46400621100000006</v>
      </c>
      <c r="I55" s="340" t="n">
        <v>0.114868385081999991</v>
      </c>
      <c r="J55" s="340" t="n">
        <v>0.278698675999999956</v>
      </c>
      <c r="K55" s="340" t="n">
        <v>0.0461000000000000032</v>
      </c>
      <c r="L55" s="340" t="n">
        <v>0.274177894649177212</v>
      </c>
      <c r="M55" s="340" t="n">
        <v>0.0929004803294519022</v>
      </c>
      <c r="N55" s="341" t="n">
        <v>1.0474058404248725</v>
      </c>
      <c r="O55" s="341" t="n">
        <v>1.1565369837272208</v>
      </c>
      <c r="P55" s="341" t="n">
        <v>7.16239052852865576</v>
      </c>
      <c r="Q55" s="341" t="n">
        <v>20.3115581365168474</v>
      </c>
      <c r="R55" s="341" t="n">
        <v>1.16898386975333568</v>
      </c>
      <c r="S55" s="341" t="n">
        <v>42.6840054800000033</v>
      </c>
      <c r="T55" s="340" t="n">
        <v>0.025543700279796866</v>
      </c>
      <c r="U55" s="340" t="n">
        <v>0.0928475152455954067</v>
      </c>
      <c r="V55" s="340" t="n">
        <v>0.00916673760688732742</v>
      </c>
      <c r="W55" s="340" t="n">
        <v>0.324398130323859268</v>
      </c>
      <c r="X55" s="340" t="n">
        <v>0.0621698862053397505</v>
      </c>
      <c r="Y55" s="340" t="n">
        <v>0.674524012923655114</v>
      </c>
      <c r="Z55" s="340" t="n">
        <v>0.674524012923655114</v>
      </c>
    </row>
    <row r="56" spans="1:26" s="290" customFormat="1" ht="11.45">
      <c r="A56" s="339" t="s">
        <v>503</v>
      </c>
      <c r="B56" s="124" t="n">
        <v>928</v>
      </c>
      <c r="C56" s="340" t="n">
        <v>-0.00111018561000000004</v>
      </c>
      <c r="D56" s="340" t="n">
        <v>0.0809641453740431594</v>
      </c>
      <c r="E56" s="340" t="n">
        <v>0.0287334072772179816</v>
      </c>
      <c r="F56" s="340" t="n">
        <v>0.181246799951682895</v>
      </c>
      <c r="G56" s="341" t="n">
        <v>1.32698180955850864</v>
      </c>
      <c r="H56" s="341" t="n">
        <v>1.66673183999999992</v>
      </c>
      <c r="I56" s="340" t="n">
        <v>0.127437374080000021</v>
      </c>
      <c r="J56" s="340" t="n">
        <v>0.708286718999999998</v>
      </c>
      <c r="K56" s="340" t="n">
        <v>0.0565999999999999925</v>
      </c>
      <c r="L56" s="340" t="n">
        <v>0.30376279785447946</v>
      </c>
      <c r="M56" s="340" t="n">
        <v>0.101684985552280605</v>
      </c>
      <c r="N56" s="341" t="n">
        <v>0.367648120692891212</v>
      </c>
      <c r="O56" s="341" t="n">
        <v>3.8696633343691559</v>
      </c>
      <c r="P56" s="341" t="n">
        <v>8.47392469461757969</v>
      </c>
      <c r="Q56" s="341" t="n">
        <v>46.405016895195196</v>
      </c>
      <c r="R56" s="341" t="n">
        <v>1.52486319017378236</v>
      </c>
      <c r="S56" s="341" t="n">
        <v>84.7578596900000036</v>
      </c>
      <c r="T56" s="340" t="n">
        <v>0.0110057099380004164</v>
      </c>
      <c r="U56" s="340" t="n">
        <v>0.422984298866975994</v>
      </c>
      <c r="V56" s="340" t="n">
        <v>0.156081317834720927</v>
      </c>
      <c r="W56" s="340" t="n">
        <v>3.27984998316339471</v>
      </c>
      <c r="X56" s="340" t="n">
        <v>-0.00678466671134353572</v>
      </c>
      <c r="Y56" s="340" t="n">
        <v>0.00557046937999999958</v>
      </c>
      <c r="Z56" s="340" t="n">
        <v>0.00557046938000005376</v>
      </c>
    </row>
    <row r="57" spans="1:26" s="290" customFormat="1" ht="11.45">
      <c r="A57" s="339" t="s">
        <v>504</v>
      </c>
      <c r="B57" s="124" t="n">
        <v>143</v>
      </c>
      <c r="C57" s="340" t="n">
        <v>0.102058725500000014</v>
      </c>
      <c r="D57" s="340" t="n">
        <v>0.129142708928334592</v>
      </c>
      <c r="E57" s="340" t="n">
        <v>0.0641453694881352909</v>
      </c>
      <c r="F57" s="340" t="n">
        <v>0.243721019895582103</v>
      </c>
      <c r="G57" s="341" t="n">
        <v>1.08051472661211889</v>
      </c>
      <c r="H57" s="341" t="n">
        <v>1.68104816800000005</v>
      </c>
      <c r="I57" s="340" t="n">
        <v>0.128324986415999987</v>
      </c>
      <c r="J57" s="340" t="n">
        <v>0.398624977999999999</v>
      </c>
      <c r="K57" s="340" t="n">
        <v>0.0461000000000000032</v>
      </c>
      <c r="L57" s="340" t="n">
        <v>0.444141034705608995</v>
      </c>
      <c r="M57" s="340" t="n">
        <v>0.0867625275818507191</v>
      </c>
      <c r="N57" s="341" t="n">
        <v>0.569852955477555234</v>
      </c>
      <c r="O57" s="341" t="n">
        <v>2.96567195894201596</v>
      </c>
      <c r="P57" s="341" t="n">
        <v>13.4480693506747802</v>
      </c>
      <c r="Q57" s="341" t="n">
        <v>22.5340978592952048</v>
      </c>
      <c r="R57" s="341" t="n">
        <v>1.56278694805686573</v>
      </c>
      <c r="S57" s="341" t="n">
        <v>29.9341833400000006</v>
      </c>
      <c r="T57" s="340" t="n">
        <v>0.0228878654810549786</v>
      </c>
      <c r="U57" s="340" t="n">
        <v>0.164161766052430202</v>
      </c>
      <c r="V57" s="340" t="n">
        <v>0.094852533335795286</v>
      </c>
      <c r="W57" s="340" t="n">
        <v>1.05351733866843844</v>
      </c>
      <c r="X57" s="340" t="n">
        <v>0.0697863323693670701</v>
      </c>
      <c r="Y57" s="340" t="n">
        <v>1.12118552228465629</v>
      </c>
      <c r="Z57" s="340" t="n">
        <v>1.12118552228465629</v>
      </c>
    </row>
    <row r="58" spans="1:26" s="290" customFormat="1" ht="11.45">
      <c r="A58" s="339" t="s">
        <v>505</v>
      </c>
      <c r="B58" s="124" t="n">
        <v>524</v>
      </c>
      <c r="C58" s="340" t="n">
        <v>-0.0345843370199999978</v>
      </c>
      <c r="D58" s="340" t="n">
        <v>0.0529324962112506103</v>
      </c>
      <c r="E58" s="340" t="n">
        <v>0.0914551535493160372</v>
      </c>
      <c r="F58" s="340" t="n">
        <v>0.261308447365414098</v>
      </c>
      <c r="G58" s="341" t="n">
        <v>1.17219596096559719</v>
      </c>
      <c r="H58" s="341" t="n">
        <v>1.4182456189999999</v>
      </c>
      <c r="I58" s="340" t="n">
        <v>0.112031228378000014</v>
      </c>
      <c r="J58" s="340" t="n">
        <v>0.474180005000000016</v>
      </c>
      <c r="K58" s="340" t="n">
        <v>0.0491000000000000014</v>
      </c>
      <c r="L58" s="340" t="n">
        <v>0.28001167207136648</v>
      </c>
      <c r="M58" s="340" t="n">
        <v>0.0910234763401603786</v>
      </c>
      <c r="N58" s="341" t="n">
        <v>1.92767911497646143</v>
      </c>
      <c r="O58" s="341" t="n">
        <v>0.949300381128722925</v>
      </c>
      <c r="P58" s="341" t="n">
        <v>9.51673790586148094</v>
      </c>
      <c r="Q58" s="341" t="n">
        <v>17.158520701343928</v>
      </c>
      <c r="R58" s="341" t="n">
        <v>1.73551926819143283</v>
      </c>
      <c r="S58" s="341" t="n">
        <v>51.7064987500000015</v>
      </c>
      <c r="T58" s="340" t="n">
        <v>0.064612427858008914</v>
      </c>
      <c r="U58" s="340" t="n">
        <v>0.0354467797673481355</v>
      </c>
      <c r="V58" s="340" t="n">
        <v>0.0119311964647817303</v>
      </c>
      <c r="W58" s="340" t="n">
        <v>0.643295395226523592</v>
      </c>
      <c r="X58" s="340" t="n">
        <v>0.0700890247317127724</v>
      </c>
      <c r="Y58" s="340" t="n">
        <v>0.745332291713315076</v>
      </c>
      <c r="Z58" s="340" t="n">
        <v>0.745332291713315076</v>
      </c>
    </row>
    <row r="59" spans="1:26" s="290" customFormat="1" ht="11.45">
      <c r="A59" s="339" t="s">
        <v>506</v>
      </c>
      <c r="B59" s="124" t="n">
        <v>390</v>
      </c>
      <c r="C59" s="340" t="n">
        <v>0.0575970748299999968</v>
      </c>
      <c r="D59" s="340" t="n">
        <v>0.0905498759093579153</v>
      </c>
      <c r="E59" s="340" t="n">
        <v>0.120430917453601927</v>
      </c>
      <c r="F59" s="340" t="n">
        <v>0.252696828461760603</v>
      </c>
      <c r="G59" s="341" t="n">
        <v>0.619838037286531218</v>
      </c>
      <c r="H59" s="341" t="n">
        <v>0.786320569999999996</v>
      </c>
      <c r="I59" s="340" t="n">
        <v>0.0728518753399999852</v>
      </c>
      <c r="J59" s="340" t="n">
        <v>0.32264137100000001</v>
      </c>
      <c r="K59" s="340" t="n">
        <v>0.0461000000000000032</v>
      </c>
      <c r="L59" s="340" t="n">
        <v>0.30486581960308361</v>
      </c>
      <c r="M59" s="340" t="n">
        <v>0.0612345653304755366</v>
      </c>
      <c r="N59" s="341" t="n">
        <v>1.63797186043071203</v>
      </c>
      <c r="O59" s="341" t="n">
        <v>1.52552532589940508</v>
      </c>
      <c r="P59" s="341" t="n">
        <v>10.2476970710008164</v>
      </c>
      <c r="Q59" s="341" t="n">
        <v>16.7548190985547585</v>
      </c>
      <c r="R59" s="341" t="n">
        <v>2.74544831024312241</v>
      </c>
      <c r="S59" s="341" t="n">
        <v>27.2822798300000002</v>
      </c>
      <c r="T59" s="340" t="n">
        <v>0.131479463795847851</v>
      </c>
      <c r="U59" s="340" t="n">
        <v>0.0577915988310161222</v>
      </c>
      <c r="V59" s="340" t="n">
        <v>0.0650040365848425594</v>
      </c>
      <c r="W59" s="340" t="n">
        <v>1.06972229060598645</v>
      </c>
      <c r="X59" s="340" t="n">
        <v>0.145946792687838478</v>
      </c>
      <c r="Y59" s="340" t="n">
        <v>0.416305415097154174</v>
      </c>
      <c r="Z59" s="340" t="n">
        <v>0.416305415097154086</v>
      </c>
    </row>
    <row r="60" spans="1:26" s="290" customFormat="1" ht="11.45">
      <c r="A60" s="339" t="s">
        <v>507</v>
      </c>
      <c r="B60" s="124" t="n">
        <v>295</v>
      </c>
      <c r="C60" s="340" t="n">
        <v>0.0332739749000000007</v>
      </c>
      <c r="D60" s="340" t="n">
        <v>0.0885478911754805154</v>
      </c>
      <c r="E60" s="340" t="n">
        <v>0.0774327146927871013</v>
      </c>
      <c r="F60" s="340" t="n">
        <v>0.221240683152542017</v>
      </c>
      <c r="G60" s="341" t="n">
        <v>0.804934351007082149</v>
      </c>
      <c r="H60" s="341" t="n">
        <v>1.03789237600000006</v>
      </c>
      <c r="I60" s="340" t="n">
        <v>0.0884493273120000012</v>
      </c>
      <c r="J60" s="340" t="n">
        <v>0.360061065000000013</v>
      </c>
      <c r="K60" s="340" t="n">
        <v>0.0461000000000000032</v>
      </c>
      <c r="L60" s="340" t="n">
        <v>0.329102407537598474</v>
      </c>
      <c r="M60" s="340" t="n">
        <v>0.0707752914868058891</v>
      </c>
      <c r="N60" s="341" t="n">
        <v>1.03214837498812795</v>
      </c>
      <c r="O60" s="341" t="n">
        <v>1.42481947134304416</v>
      </c>
      <c r="P60" s="341" t="n">
        <v>9.25325786825063723</v>
      </c>
      <c r="Q60" s="341" t="n">
        <v>15.8628091166349083</v>
      </c>
      <c r="R60" s="341" t="n">
        <v>1.61432181248898949</v>
      </c>
      <c r="S60" s="341" t="n">
        <v>297.112624100000005</v>
      </c>
      <c r="T60" s="340" t="n">
        <v>0.180394795303023336</v>
      </c>
      <c r="U60" s="340" t="n">
        <v>0.0706199453428994506</v>
      </c>
      <c r="V60" s="340" t="n">
        <v>0.0396346901989905689</v>
      </c>
      <c r="W60" s="340" t="n">
        <v>0.621244492143200411</v>
      </c>
      <c r="X60" s="340" t="n">
        <v>0.0931934856199911721</v>
      </c>
      <c r="Y60" s="340" t="n">
        <v>0.419704833661942445</v>
      </c>
      <c r="Z60" s="340" t="n">
        <v>0.419704833661942445</v>
      </c>
    </row>
    <row r="61" spans="1:26" s="290" customFormat="1" ht="11.45">
      <c r="A61" s="339" t="s">
        <v>508</v>
      </c>
      <c r="B61" s="124" t="n">
        <v>563</v>
      </c>
      <c r="C61" s="340" t="n">
        <v>0.061279031530000001</v>
      </c>
      <c r="D61" s="340" t="n">
        <v>0.121016784154890011</v>
      </c>
      <c r="E61" s="340" t="n">
        <v>0.0635443582735123336</v>
      </c>
      <c r="F61" s="340" t="n">
        <v>0.202615048481882631</v>
      </c>
      <c r="G61" s="341" t="n">
        <v>0.577135744190697242</v>
      </c>
      <c r="H61" s="341" t="n">
        <v>0.928569302000000008</v>
      </c>
      <c r="I61" s="340" t="n">
        <v>0.0816712967239999799</v>
      </c>
      <c r="J61" s="340" t="n">
        <v>0.283703835000000026</v>
      </c>
      <c r="K61" s="340" t="n">
        <v>0.0461000000000000032</v>
      </c>
      <c r="L61" s="340" t="n">
        <v>0.473690037664144548</v>
      </c>
      <c r="M61" s="340" t="n">
        <v>0.0594430474646910767</v>
      </c>
      <c r="N61" s="341" t="n">
        <v>0.645270351203793613</v>
      </c>
      <c r="O61" s="341" t="n">
        <v>2.14345330904575349</v>
      </c>
      <c r="P61" s="341" t="n">
        <v>9.37341079661887022</v>
      </c>
      <c r="Q61" s="341" t="n">
        <v>17.6502775595928014</v>
      </c>
      <c r="R61" s="341" t="n">
        <v>1.3504946524211987</v>
      </c>
      <c r="S61" s="341" t="n">
        <v>31.3207091599999998</v>
      </c>
      <c r="T61" s="340" t="n">
        <v>0.0122254484477903191</v>
      </c>
      <c r="U61" s="340" t="n">
        <v>0.155962599737521623</v>
      </c>
      <c r="V61" s="340" t="n">
        <v>0.0874332250321314497</v>
      </c>
      <c r="W61" s="340" t="n">
        <v>1.00714662477874795</v>
      </c>
      <c r="X61" s="340" t="n">
        <v>0.105653445774762522</v>
      </c>
      <c r="Y61" s="340" t="n">
        <v>0.545912214592868406</v>
      </c>
      <c r="Z61" s="340" t="n">
        <v>0.545912214592868406</v>
      </c>
    </row>
    <row r="62" spans="1:26" s="290" customFormat="1" ht="11.45">
      <c r="A62" s="339" t="s">
        <v>509</v>
      </c>
      <c r="B62" s="124" t="n">
        <v>961</v>
      </c>
      <c r="C62" s="340" t="n">
        <v>0.0578649783499999959</v>
      </c>
      <c r="D62" s="340" t="n">
        <v>0.122438689510328613</v>
      </c>
      <c r="E62" s="340" t="n">
        <v>0.0783033188665307378</v>
      </c>
      <c r="F62" s="340" t="n">
        <v>0.27550447847421311</v>
      </c>
      <c r="G62" s="341" t="n">
        <v>1.2235515256805829</v>
      </c>
      <c r="H62" s="341" t="n">
        <v>1.33291013400000002</v>
      </c>
      <c r="I62" s="340" t="n">
        <v>0.10674042830799999</v>
      </c>
      <c r="J62" s="340" t="n">
        <v>0.86964896300000003</v>
      </c>
      <c r="K62" s="340" t="n">
        <v>0.0791000000000000014</v>
      </c>
      <c r="L62" s="340" t="n">
        <v>0.183953749424992008</v>
      </c>
      <c r="M62" s="340" t="n">
        <v>0.098072020233995687</v>
      </c>
      <c r="N62" s="341" t="n">
        <v>0.663203718358124394</v>
      </c>
      <c r="O62" s="341" t="n">
        <v>2.70386706758968476</v>
      </c>
      <c r="P62" s="341" t="n">
        <v>8.52155756115162966</v>
      </c>
      <c r="Q62" s="341" t="n">
        <v>20.4712991302338807</v>
      </c>
      <c r="R62" s="341" t="n">
        <v>1.70452411449190588</v>
      </c>
      <c r="S62" s="341" t="n">
        <v>39.2970456099999979</v>
      </c>
      <c r="T62" s="340" t="n">
        <v>0.130558276940979989</v>
      </c>
      <c r="U62" s="340" t="n">
        <v>0.189642639079456004</v>
      </c>
      <c r="V62" s="340" t="n">
        <v>0.0968719344124547277</v>
      </c>
      <c r="W62" s="340" t="n">
        <v>1.29589060105680476</v>
      </c>
      <c r="X62" s="340" t="n">
        <v>0.042936373034229085</v>
      </c>
      <c r="Y62" s="340" t="n">
        <v>0.714669981522086584</v>
      </c>
      <c r="Z62" s="340" t="n">
        <v>0.714669981522086584</v>
      </c>
    </row>
    <row r="63" spans="1:26" s="290" customFormat="1" ht="11.45">
      <c r="A63" s="339" t="s">
        <v>510</v>
      </c>
      <c r="B63" s="124" t="n">
        <v>371</v>
      </c>
      <c r="C63" s="340" t="n">
        <v>-0.00295736434000000123</v>
      </c>
      <c r="D63" s="340" t="n">
        <v>0.0716710584390605909</v>
      </c>
      <c r="E63" s="340" t="n">
        <v>0.100546008132894582</v>
      </c>
      <c r="F63" s="340" t="n">
        <v>0.241212905508924313</v>
      </c>
      <c r="G63" s="341" t="n">
        <v>0.896278826660798877</v>
      </c>
      <c r="H63" s="341" t="n">
        <v>0.975857240000000026</v>
      </c>
      <c r="I63" s="340" t="n">
        <v>0.0846031488799999742</v>
      </c>
      <c r="J63" s="340" t="n">
        <v>0.394374862999999998</v>
      </c>
      <c r="K63" s="340" t="n">
        <v>0.0461000000000000032</v>
      </c>
      <c r="L63" s="340" t="n">
        <v>0.221256587127935012</v>
      </c>
      <c r="M63" s="340" t="n">
        <v>0.0735718311345493703</v>
      </c>
      <c r="N63" s="341" t="n">
        <v>1.64985843761606059</v>
      </c>
      <c r="O63" s="341" t="n">
        <v>1.29324840959400156</v>
      </c>
      <c r="P63" s="341" t="n">
        <v>9.93875876074406328</v>
      </c>
      <c r="Q63" s="341" t="n">
        <v>17.3457553713986847</v>
      </c>
      <c r="R63" s="341" t="n">
        <v>1.70514462186561877</v>
      </c>
      <c r="S63" s="341" t="n">
        <v>79.4506894600000066</v>
      </c>
      <c r="T63" s="340" t="n">
        <v>0.110704950591253781</v>
      </c>
      <c r="U63" s="340" t="n">
        <v>0.0301933885725689155</v>
      </c>
      <c r="V63" s="340" t="n">
        <v>0.0200681480014648628</v>
      </c>
      <c r="W63" s="340" t="n">
        <v>0.381037273695691567</v>
      </c>
      <c r="X63" s="340" t="n">
        <v>0.00859355332685438711</v>
      </c>
      <c r="Y63" s="340" t="n">
        <v>4.71404962993474008</v>
      </c>
      <c r="Z63" s="340" t="n">
        <v>4.71404962993474008</v>
      </c>
    </row>
    <row r="64" spans="1:26" s="290" customFormat="1" ht="11.45">
      <c r="A64" s="339" t="s">
        <v>511</v>
      </c>
      <c r="B64" s="124" t="n">
        <v>714</v>
      </c>
      <c r="C64" s="340" t="n">
        <v>0.116876956500000007</v>
      </c>
      <c r="D64" s="340" t="n">
        <v>0.317620946803964355</v>
      </c>
      <c r="E64" s="340" t="n">
        <v>0.0369929920199898188</v>
      </c>
      <c r="F64" s="340" t="n">
        <v>0.0306426160716591411</v>
      </c>
      <c r="G64" s="341" t="n">
        <v>0.446295556878768274</v>
      </c>
      <c r="H64" s="341" t="n">
        <v>0.675857778000000042</v>
      </c>
      <c r="I64" s="340" t="n">
        <v>0.0660031822360000042</v>
      </c>
      <c r="J64" s="340" t="n">
        <v>0.237168378000000013</v>
      </c>
      <c r="K64" s="340" t="n">
        <v>0.0410999999999999943</v>
      </c>
      <c r="L64" s="340" t="n">
        <v>0.421901472860394389</v>
      </c>
      <c r="M64" s="340" t="n">
        <v>0.0512256138950581175</v>
      </c>
      <c r="N64" s="341" t="n">
        <v>0.119716961632131014</v>
      </c>
      <c r="O64" s="341" t="n">
        <v>12.1962348395535081</v>
      </c>
      <c r="P64" s="341" t="n">
        <v>21.4148861014230896</v>
      </c>
      <c r="Q64" s="341" t="n">
        <v>34.3175806112975152</v>
      </c>
      <c r="R64" s="341" t="n">
        <v>1.5845882168556626</v>
      </c>
      <c r="S64" s="341" t="n">
        <v>112.516243000000003</v>
      </c>
      <c r="T64" s="340" t="n">
        <v>0.38694203321279236</v>
      </c>
      <c r="U64" s="340" t="n">
        <v>0.0646305638909743241</v>
      </c>
      <c r="V64" s="340" t="n">
        <v>0.0210252056074183979</v>
      </c>
      <c r="W64" s="340" t="n">
        <v>0.112768630824991356</v>
      </c>
      <c r="X64" s="340" t="n">
        <v>0.100920002823920729</v>
      </c>
      <c r="Y64" s="340" t="n">
        <v>0.747825228427527655</v>
      </c>
      <c r="Z64" s="340" t="n">
        <v>0.747825228427527655</v>
      </c>
    </row>
    <row r="65" spans="1:26" s="290" customFormat="1" ht="11.45">
      <c r="A65" s="339" t="s">
        <v>512</v>
      </c>
      <c r="B65" s="124" t="n">
        <v>784</v>
      </c>
      <c r="C65" s="340" t="n">
        <v>0.142204640300000023</v>
      </c>
      <c r="D65" s="340" t="n">
        <v>0.180592023929902101</v>
      </c>
      <c r="E65" s="340" t="n">
        <v>0.0795043144092487708</v>
      </c>
      <c r="F65" s="340" t="n">
        <v>0.336816781131819853</v>
      </c>
      <c r="G65" s="341" t="n">
        <v>0.762652823538068514</v>
      </c>
      <c r="H65" s="341" t="n">
        <v>1.147271237</v>
      </c>
      <c r="I65" s="340" t="n">
        <v>0.0952308166940000156</v>
      </c>
      <c r="J65" s="340" t="n">
        <v>0.325100928999999983</v>
      </c>
      <c r="K65" s="340" t="n">
        <v>0.0461000000000000032</v>
      </c>
      <c r="L65" s="340" t="n">
        <v>0.521764693836075644</v>
      </c>
      <c r="M65" s="340" t="n">
        <v>0.0636717504711055859</v>
      </c>
      <c r="N65" s="341" t="n">
        <v>0.543580990787563501</v>
      </c>
      <c r="O65" s="341" t="n">
        <v>2.67687401932223024</v>
      </c>
      <c r="P65" s="341" t="n">
        <v>13.1965056008120474</v>
      </c>
      <c r="Q65" s="341" t="n">
        <v>14.2147051212433411</v>
      </c>
      <c r="R65" s="341" t="n">
        <v>1.16174432801344607</v>
      </c>
      <c r="S65" s="341" t="n">
        <v>203.7720123</v>
      </c>
      <c r="T65" s="340" t="n">
        <v>1.56916310225721283</v>
      </c>
      <c r="U65" s="340" t="n">
        <v>0.0283014129372795473</v>
      </c>
      <c r="V65" s="340" t="n">
        <v>0.0785029195132278534</v>
      </c>
      <c r="W65" s="340" t="n">
        <v>0.781503221909125134</v>
      </c>
      <c r="X65" s="340" t="n">
        <v>0.118935749182483196</v>
      </c>
      <c r="Y65" s="340" t="n">
        <v>0.537736464493499522</v>
      </c>
      <c r="Z65" s="340" t="n">
        <v>0.537736464493499522</v>
      </c>
    </row>
    <row r="66" spans="1:26" s="290" customFormat="1" ht="11.45">
      <c r="A66" s="339" t="s">
        <v>513</v>
      </c>
      <c r="B66" s="124" t="n">
        <v>415</v>
      </c>
      <c r="C66" s="340" t="n">
        <v>0.135789666700000011</v>
      </c>
      <c r="D66" s="340" t="n">
        <v>0.20966264455578969</v>
      </c>
      <c r="E66" s="340" t="n">
        <v>0.0542904623518784124</v>
      </c>
      <c r="F66" s="340" t="n">
        <v>0.201715718746324635</v>
      </c>
      <c r="G66" s="341" t="n">
        <v>0.775600492976923306</v>
      </c>
      <c r="H66" s="341" t="n">
        <v>1.09171989300000005</v>
      </c>
      <c r="I66" s="340" t="n">
        <v>0.0917866333659999967</v>
      </c>
      <c r="J66" s="340" t="n">
        <v>0.326585049000000005</v>
      </c>
      <c r="K66" s="340" t="n">
        <v>0.0461000000000000032</v>
      </c>
      <c r="L66" s="340" t="n">
        <v>0.426998116518995818</v>
      </c>
      <c r="M66" s="340" t="n">
        <v>0.0674302067444773101</v>
      </c>
      <c r="N66" s="341" t="n">
        <v>0.304089484984129976</v>
      </c>
      <c r="O66" s="341" t="n">
        <v>3.49455663670879435</v>
      </c>
      <c r="P66" s="341" t="n">
        <v>13.082342217489412</v>
      </c>
      <c r="Q66" s="341" t="n">
        <v>16.1823534321945388</v>
      </c>
      <c r="R66" s="341" t="n">
        <v>0.87698505902950501</v>
      </c>
      <c r="S66" s="341" t="n">
        <v>49.9290637399999966</v>
      </c>
      <c r="T66" s="340" t="n">
        <v>0.712157503751050136</v>
      </c>
      <c r="U66" s="340" t="n">
        <v>0.0825012428217417693</v>
      </c>
      <c r="V66" s="340" t="n">
        <v>0.104906231126612726</v>
      </c>
      <c r="W66" s="340" t="n">
        <v>0.475256446368549668</v>
      </c>
      <c r="X66" s="340" t="n">
        <v>0.0901086581106066475</v>
      </c>
      <c r="Y66" s="340" t="n">
        <v>0.302770044037646091</v>
      </c>
      <c r="Z66" s="340" t="n">
        <v>0.30277004403764618</v>
      </c>
    </row>
    <row r="67" spans="1:26" s="290" customFormat="1" ht="11.45">
      <c r="A67" s="339" t="s">
        <v>514</v>
      </c>
      <c r="B67" s="124" t="n">
        <v>628</v>
      </c>
      <c r="C67" s="340" t="n">
        <v>0.0878406699800000013</v>
      </c>
      <c r="D67" s="340" t="n">
        <v>0.278564888409284617</v>
      </c>
      <c r="E67" s="340" t="n">
        <v>0.05434201633628712</v>
      </c>
      <c r="F67" s="340" t="n">
        <v>0.19977360011006823</v>
      </c>
      <c r="G67" s="341" t="n">
        <v>0.643106906757464092</v>
      </c>
      <c r="H67" s="341" t="n">
        <v>0.900449122999999929</v>
      </c>
      <c r="I67" s="340" t="n">
        <v>0.0799278456259999892</v>
      </c>
      <c r="J67" s="340" t="n">
        <v>0.328324755999999995</v>
      </c>
      <c r="K67" s="340" t="n">
        <v>0.0461000000000000032</v>
      </c>
      <c r="L67" s="340" t="n">
        <v>0.384420541348025537</v>
      </c>
      <c r="M67" s="340" t="n">
        <v>0.0625588507705173669</v>
      </c>
      <c r="N67" s="341" t="n">
        <v>0.225929669775413133</v>
      </c>
      <c r="O67" s="341" t="n">
        <v>6.39301560854824036</v>
      </c>
      <c r="P67" s="341" t="n">
        <v>18.2260626854049761</v>
      </c>
      <c r="Q67" s="341" t="n">
        <v>21.5089631009708562</v>
      </c>
      <c r="R67" s="341" t="n">
        <v>1.17150877856969737</v>
      </c>
      <c r="S67" s="341" t="n">
        <v>56.3328066300000003</v>
      </c>
      <c r="T67" s="340" t="n">
        <v>0.197281599431032379</v>
      </c>
      <c r="U67" s="340" t="n">
        <v>0.0534701256658475366</v>
      </c>
      <c r="V67" s="340" t="n">
        <v>0.0921652426053076823</v>
      </c>
      <c r="W67" s="340" t="n">
        <v>0.508754105004006441</v>
      </c>
      <c r="X67" s="340" t="n">
        <v>0.148838667128843856</v>
      </c>
      <c r="Y67" s="340" t="n">
        <v>0.242127238622112362</v>
      </c>
      <c r="Z67" s="340" t="n">
        <v>0.242127238622112362</v>
      </c>
    </row>
    <row r="68" spans="1:26" s="290" customFormat="1" ht="11.45">
      <c r="A68" s="339" t="s">
        <v>515</v>
      </c>
      <c r="B68" s="124" t="n">
        <v>321</v>
      </c>
      <c r="C68" s="340" t="n">
        <v>0.0294392344500000025</v>
      </c>
      <c r="D68" s="340" t="n">
        <v>0.107894859478798155</v>
      </c>
      <c r="E68" s="340" t="n">
        <v>0.100805324861061041</v>
      </c>
      <c r="F68" s="340" t="n">
        <v>0.304836533465124626</v>
      </c>
      <c r="G68" s="341" t="n">
        <v>0.815331835883788258</v>
      </c>
      <c r="H68" s="341" t="n">
        <v>0.877523172999999801</v>
      </c>
      <c r="I68" s="340" t="n">
        <v>0.078506436726000004</v>
      </c>
      <c r="J68" s="340" t="n">
        <v>0.367556425999999981</v>
      </c>
      <c r="K68" s="340" t="n">
        <v>0.0461000000000000032</v>
      </c>
      <c r="L68" s="340" t="n">
        <v>0.198693761395359676</v>
      </c>
      <c r="M68" s="340" t="n">
        <v>0.0698114255142899953</v>
      </c>
      <c r="N68" s="341" t="n">
        <v>1.11323252555443841</v>
      </c>
      <c r="O68" s="341" t="n">
        <v>2.27778246838502385</v>
      </c>
      <c r="P68" s="341" t="n">
        <v>12.9096624240299231</v>
      </c>
      <c r="Q68" s="341" t="n">
        <v>20.706245276120125</v>
      </c>
      <c r="R68" s="341" t="n">
        <v>2.72419574074266801</v>
      </c>
      <c r="S68" s="341" t="n">
        <v>40.1327743499999983</v>
      </c>
      <c r="T68" s="340" t="n">
        <v>0.182706880761555368</v>
      </c>
      <c r="U68" s="340" t="n">
        <v>0.0731539385777430518</v>
      </c>
      <c r="V68" s="340" t="n">
        <v>0.0532068179471890801</v>
      </c>
      <c r="W68" s="340" t="n">
        <v>0.76199064599081634</v>
      </c>
      <c r="X68" s="340" t="n">
        <v>0.0855461918755155715</v>
      </c>
      <c r="Y68" s="340" t="n">
        <v>0.560163441484226077</v>
      </c>
      <c r="Z68" s="340" t="n">
        <v>0.560163441484226077</v>
      </c>
    </row>
    <row r="69" spans="1:26" s="290" customFormat="1" ht="11.45">
      <c r="A69" s="339" t="s">
        <v>516</v>
      </c>
      <c r="B69" s="124" t="n">
        <v>38</v>
      </c>
      <c r="C69" s="340" t="n">
        <v>0.0859589655199999925</v>
      </c>
      <c r="D69" s="340" t="n">
        <v>0.0542498741496183889</v>
      </c>
      <c r="E69" s="340" t="n">
        <v>0.0653119873716519095</v>
      </c>
      <c r="F69" s="340" t="n">
        <v>0.186659282915224267</v>
      </c>
      <c r="G69" s="341" t="n">
        <v>1.15871080998220477</v>
      </c>
      <c r="H69" s="341" t="n">
        <v>1.18317003700000001</v>
      </c>
      <c r="I69" s="340" t="n">
        <v>0.0974565422939999948</v>
      </c>
      <c r="J69" s="340" t="n">
        <v>0.281887047000000024</v>
      </c>
      <c r="K69" s="340" t="n">
        <v>0.0461000000000000032</v>
      </c>
      <c r="L69" s="340" t="n">
        <v>0.184703948394386241</v>
      </c>
      <c r="M69" s="340" t="n">
        <v>0.0858735781036472545</v>
      </c>
      <c r="N69" s="341" t="n">
        <v>1.3950115263230658</v>
      </c>
      <c r="O69" s="341" t="n">
        <v>0.792631077768403713</v>
      </c>
      <c r="P69" s="341" t="n">
        <v>12.0564877790462326</v>
      </c>
      <c r="Q69" s="341" t="n">
        <v>13.6325558601368808</v>
      </c>
      <c r="R69" s="341" t="n">
        <v>1.02096287142361342</v>
      </c>
      <c r="S69" s="341" t="n">
        <v>63.3317969599999984</v>
      </c>
      <c r="T69" s="340" t="n">
        <v>-0.385590645629287909</v>
      </c>
      <c r="U69" s="340" t="n">
        <v>0.00118596183422700086</v>
      </c>
      <c r="V69" s="340" t="n">
        <v>0.0014846084500745782</v>
      </c>
      <c r="W69" s="340" t="n">
        <v>0.185105070535854104</v>
      </c>
      <c r="X69" s="340" t="n">
        <v>0.0555237511357077551</v>
      </c>
      <c r="Y69" s="340" t="n">
        <v>0.648224703006368763</v>
      </c>
      <c r="Z69" s="340" t="n">
        <v>0.648224703006368763</v>
      </c>
    </row>
    <row r="70" spans="1:26" s="290" customFormat="1" ht="11.45">
      <c r="A70" s="339" t="s">
        <v>517</v>
      </c>
      <c r="B70" s="124" t="n">
        <v>364</v>
      </c>
      <c r="C70" s="340" t="n">
        <v>0.073337702130000002</v>
      </c>
      <c r="D70" s="340" t="n">
        <v>0.110223313447431126</v>
      </c>
      <c r="E70" s="340" t="n">
        <v>0.14493213531059002</v>
      </c>
      <c r="F70" s="340" t="n">
        <v>0.285441930390531429</v>
      </c>
      <c r="G70" s="341" t="n">
        <v>0.703560871530147214</v>
      </c>
      <c r="H70" s="341" t="n">
        <v>0.850784600000000069</v>
      </c>
      <c r="I70" s="340" t="n">
        <v>0.0768486451999999876</v>
      </c>
      <c r="J70" s="340" t="n">
        <v>0.344749587999999996</v>
      </c>
      <c r="K70" s="340" t="n">
        <v>0.0461000000000000032</v>
      </c>
      <c r="L70" s="340" t="n">
        <v>0.256380291455432507</v>
      </c>
      <c r="M70" s="340" t="n">
        <v>0.0660542465090539999</v>
      </c>
      <c r="N70" s="341" t="n">
        <v>1.6412828453789885</v>
      </c>
      <c r="O70" s="341" t="n">
        <v>2.45313501084544017</v>
      </c>
      <c r="P70" s="341" t="n">
        <v>12.6920707829551862</v>
      </c>
      <c r="Q70" s="341" t="n">
        <v>22.1216307164151509</v>
      </c>
      <c r="R70" s="341" t="n">
        <v>7.56325801623403038</v>
      </c>
      <c r="S70" s="341" t="n">
        <v>55.7441481700000026</v>
      </c>
      <c r="T70" s="340" t="n">
        <v>-0.0109471220432338722</v>
      </c>
      <c r="U70" s="340" t="n">
        <v>0.049394827744136105</v>
      </c>
      <c r="V70" s="340" t="n">
        <v>0.0320413786544551327</v>
      </c>
      <c r="W70" s="340" t="n">
        <v>0.429835610329037987</v>
      </c>
      <c r="X70" s="340" t="n">
        <v>0.308682045259778226</v>
      </c>
      <c r="Y70" s="340" t="n">
        <v>0.557006174773610496</v>
      </c>
      <c r="Z70" s="340" t="n">
        <v>0.557006174773610496</v>
      </c>
    </row>
    <row r="71" spans="1:26" s="290" customFormat="1" ht="11.45">
      <c r="A71" s="339" t="s">
        <v>518</v>
      </c>
      <c r="B71" s="124" t="n">
        <v>169</v>
      </c>
      <c r="C71" s="340" t="n">
        <v>0.0543553781499999999</v>
      </c>
      <c r="D71" s="340" t="n">
        <v>0.0439734202490883153</v>
      </c>
      <c r="E71" s="340" t="n">
        <v>0.102209333843067673</v>
      </c>
      <c r="F71" s="340" t="n">
        <v>0.299833907776406772</v>
      </c>
      <c r="G71" s="341" t="n">
        <v>0.677750423290877535</v>
      </c>
      <c r="H71" s="341" t="n">
        <v>0.959653110999999903</v>
      </c>
      <c r="I71" s="340" t="n">
        <v>0.0835984928819999951</v>
      </c>
      <c r="J71" s="340" t="n">
        <v>0.334513710000000009</v>
      </c>
      <c r="K71" s="340" t="n">
        <v>0.0461000000000000032</v>
      </c>
      <c r="L71" s="340" t="n">
        <v>0.393994062564468983</v>
      </c>
      <c r="M71" s="340" t="n">
        <v>0.0643507313275721238</v>
      </c>
      <c r="N71" s="341" t="n">
        <v>2.9040186636253523</v>
      </c>
      <c r="O71" s="341" t="n">
        <v>0.755206843592746679</v>
      </c>
      <c r="P71" s="341" t="n">
        <v>10.3977354736015073</v>
      </c>
      <c r="Q71" s="341" t="n">
        <v>16.4219161830997074</v>
      </c>
      <c r="R71" s="341" t="n">
        <v>2.89447278775757066</v>
      </c>
      <c r="S71" s="341" t="n">
        <v>36.4832785999999984</v>
      </c>
      <c r="T71" s="340" t="n">
        <v>0.107521602361697144</v>
      </c>
      <c r="U71" s="340" t="n">
        <v>0.0226524780577676532</v>
      </c>
      <c r="V71" s="340" t="n">
        <v>0.0210203008788872392</v>
      </c>
      <c r="W71" s="340" t="n">
        <v>1.03146505387367982</v>
      </c>
      <c r="X71" s="340" t="n">
        <v>0.192601117791151495</v>
      </c>
      <c r="Y71" s="340" t="n">
        <v>0.286256613613437061</v>
      </c>
      <c r="Z71" s="340" t="n">
        <v>0.286256613613437061</v>
      </c>
    </row>
    <row r="72" spans="1:26" s="290" customFormat="1" ht="11.45">
      <c r="A72" s="339" t="s">
        <v>519</v>
      </c>
      <c r="B72" s="124" t="n">
        <v>53</v>
      </c>
      <c r="C72" s="340" t="n">
        <v>0.0413097435900000054</v>
      </c>
      <c r="D72" s="340" t="n">
        <v>0.0976456285596961493</v>
      </c>
      <c r="E72" s="340" t="n">
        <v>0.197213117571302377</v>
      </c>
      <c r="F72" s="340" t="n">
        <v>0.34841079204001586</v>
      </c>
      <c r="G72" s="341" t="n">
        <v>0.660452218266912361</v>
      </c>
      <c r="H72" s="341" t="n">
        <v>0.75116196000000004</v>
      </c>
      <c r="I72" s="340" t="n">
        <v>0.0706720415200000041</v>
      </c>
      <c r="J72" s="340" t="n">
        <v>0.309848510999999993</v>
      </c>
      <c r="K72" s="340" t="n">
        <v>0.0461000000000000032</v>
      </c>
      <c r="L72" s="340" t="n">
        <v>0.174447431714571337</v>
      </c>
      <c r="M72" s="340" t="n">
        <v>0.0644047608327693055</v>
      </c>
      <c r="N72" s="341" t="n">
        <v>2.6072598911769882</v>
      </c>
      <c r="O72" s="341" t="n">
        <v>1.73448734651079306</v>
      </c>
      <c r="P72" s="341" t="n">
        <v>12.6364245339675456</v>
      </c>
      <c r="Q72" s="341" t="n">
        <v>17.7451095905130991</v>
      </c>
      <c r="R72" s="341" t="n">
        <v>9.54779493680505809</v>
      </c>
      <c r="S72" s="341" t="n">
        <v>28.0440533999999992</v>
      </c>
      <c r="T72" s="340" t="n">
        <v>0.0639874834731775088</v>
      </c>
      <c r="U72" s="340" t="n">
        <v>0.0204230024747511907</v>
      </c>
      <c r="V72" s="340" t="n">
        <v>0.00440287094035325932</v>
      </c>
      <c r="W72" s="340" t="n">
        <v>0.109204134611028625</v>
      </c>
      <c r="X72" s="340" t="n">
        <v>0.361814491329457644</v>
      </c>
      <c r="Y72" s="340" t="n">
        <v>0.428269595483592092</v>
      </c>
      <c r="Z72" s="340" t="n">
        <v>0.428269595483592092</v>
      </c>
    </row>
    <row r="73" spans="1:26" s="290" customFormat="1" ht="11.45">
      <c r="A73" s="339" t="s">
        <v>520</v>
      </c>
      <c r="B73" s="124" t="n">
        <v>976</v>
      </c>
      <c r="C73" s="340" t="n">
        <v>0.0775101276599999878</v>
      </c>
      <c r="D73" s="340" t="n">
        <v>0.0418734695943858171</v>
      </c>
      <c r="E73" s="340" t="n">
        <v>0.0626005368998772038</v>
      </c>
      <c r="F73" s="340" t="n">
        <v>0.249142596774085057</v>
      </c>
      <c r="G73" s="341" t="n">
        <v>0.635311150116415924</v>
      </c>
      <c r="H73" s="341" t="n">
        <v>0.899610547999999888</v>
      </c>
      <c r="I73" s="340" t="n">
        <v>0.0798758539760000019</v>
      </c>
      <c r="J73" s="340" t="n">
        <v>0.374045595000000031</v>
      </c>
      <c r="K73" s="340" t="n">
        <v>0.0461000000000000032</v>
      </c>
      <c r="L73" s="340" t="n">
        <v>0.424282731459945239</v>
      </c>
      <c r="M73" s="340" t="n">
        <v>0.0607278538190997175</v>
      </c>
      <c r="N73" s="341" t="n">
        <v>1.82303799729952676</v>
      </c>
      <c r="O73" s="341" t="n">
        <v>0.803017343997905897</v>
      </c>
      <c r="P73" s="341" t="n">
        <v>12.1627799531486396</v>
      </c>
      <c r="Q73" s="341" t="n">
        <v>18.5967991963997683</v>
      </c>
      <c r="R73" s="341" t="n">
        <v>1.49695919762431178</v>
      </c>
      <c r="S73" s="341" t="n">
        <v>66.2637046800000036</v>
      </c>
      <c r="T73" s="340" t="n">
        <v>0.152090451737402077</v>
      </c>
      <c r="U73" s="340" t="n">
        <v>0.0273198018144744381</v>
      </c>
      <c r="V73" s="340" t="n">
        <v>0.0232056447081106931</v>
      </c>
      <c r="W73" s="340" t="n">
        <v>1.10134739382980928</v>
      </c>
      <c r="X73" s="340" t="n">
        <v>0.101909455012715755</v>
      </c>
      <c r="Y73" s="340" t="n">
        <v>0.376486745220960328</v>
      </c>
      <c r="Z73" s="340" t="n">
        <v>0.376486745220960373</v>
      </c>
    </row>
    <row r="74" spans="1:26" s="290" customFormat="1" ht="11.45">
      <c r="A74" s="339" t="s">
        <v>34</v>
      </c>
      <c r="B74" s="124" t="n">
        <v>217</v>
      </c>
      <c r="C74" s="340" t="n">
        <v>0.036947849460000004</v>
      </c>
      <c r="D74" s="340" t="n">
        <v>0.0411818943269006077</v>
      </c>
      <c r="E74" s="340" t="n">
        <v>0.0833519291038559373</v>
      </c>
      <c r="F74" s="340" t="n">
        <v>0.312149329255959174</v>
      </c>
      <c r="G74" s="341" t="n">
        <v>0.92335550399577091</v>
      </c>
      <c r="H74" s="341" t="n">
        <v>1.17705293700000002</v>
      </c>
      <c r="I74" s="340" t="n">
        <v>0.0970772820940000081</v>
      </c>
      <c r="J74" s="340" t="n">
        <v>0.306129225000000016</v>
      </c>
      <c r="K74" s="340" t="n">
        <v>0.0461000000000000032</v>
      </c>
      <c r="L74" s="340" t="n">
        <v>0.312153919286060244</v>
      </c>
      <c r="M74" s="340" t="n">
        <v>0.0776201938680475934</v>
      </c>
      <c r="N74" s="341" t="n">
        <v>2.62304509580231615</v>
      </c>
      <c r="O74" s="341" t="n">
        <v>0.818531004554022701</v>
      </c>
      <c r="P74" s="341" t="n">
        <v>9.71818658197685714</v>
      </c>
      <c r="Q74" s="341" t="n">
        <v>19.7011740497687313</v>
      </c>
      <c r="R74" s="341" t="n">
        <v>2.54069415970393742</v>
      </c>
      <c r="S74" s="341" t="n">
        <v>35.1571743000000012</v>
      </c>
      <c r="T74" s="340" t="n">
        <v>0.00396291264214661521</v>
      </c>
      <c r="U74" s="340" t="n">
        <v>0.0298348247110886078</v>
      </c>
      <c r="V74" s="340" t="n">
        <v>0.00878521392952241698</v>
      </c>
      <c r="W74" s="340" t="n">
        <v>0.286789645890950915</v>
      </c>
      <c r="X74" s="340" t="n">
        <v>0.116406984668509406</v>
      </c>
      <c r="Y74" s="340" t="n">
        <v>0.496789299898670311</v>
      </c>
      <c r="Z74" s="340" t="n">
        <v>0.496789299898670311</v>
      </c>
    </row>
    <row r="75" spans="1:26" s="290" customFormat="1" ht="11.45">
      <c r="A75" s="339" t="s">
        <v>521</v>
      </c>
      <c r="B75" s="124" t="n">
        <v>168</v>
      </c>
      <c r="C75" s="340" t="n">
        <v>0.106818045099999992</v>
      </c>
      <c r="D75" s="340" t="n">
        <v>0.0343910364963989768</v>
      </c>
      <c r="E75" s="340" t="n">
        <v>0.0888595507861804812</v>
      </c>
      <c r="F75" s="340" t="n">
        <v>0.266392244517008958</v>
      </c>
      <c r="G75" s="341" t="n">
        <v>0.68155377063582101</v>
      </c>
      <c r="H75" s="341" t="n">
        <v>0.891991357999999934</v>
      </c>
      <c r="I75" s="340" t="n">
        <v>0.0794034641959999821</v>
      </c>
      <c r="J75" s="340" t="n">
        <v>0.289715263999999983</v>
      </c>
      <c r="K75" s="340" t="n">
        <v>0.0461000000000000032</v>
      </c>
      <c r="L75" s="340" t="n">
        <v>0.354789220279313744</v>
      </c>
      <c r="M75" s="340" t="n">
        <v>0.0635593247348850721</v>
      </c>
      <c r="N75" s="341" t="n">
        <v>3.38698980347669254</v>
      </c>
      <c r="O75" s="341" t="n">
        <v>0.642020172808008471</v>
      </c>
      <c r="P75" s="341" t="n">
        <v>8.39817653555678767</v>
      </c>
      <c r="Q75" s="341" t="n">
        <v>18.494336284819461</v>
      </c>
      <c r="R75" s="341" t="n">
        <v>2.07229586250218389</v>
      </c>
      <c r="S75" s="341" t="n">
        <v>36.1786703100000011</v>
      </c>
      <c r="T75" s="340" t="n">
        <v>-0.0307199053149380852</v>
      </c>
      <c r="U75" s="340" t="n">
        <v>0.0293480270701147639</v>
      </c>
      <c r="V75" s="340" t="n">
        <v>0.0132610970157546637</v>
      </c>
      <c r="W75" s="340" t="n">
        <v>0.374448280472301143</v>
      </c>
      <c r="X75" s="340" t="n">
        <v>0.119763165198052191</v>
      </c>
      <c r="Y75" s="340" t="n">
        <v>0.426542831704639713</v>
      </c>
      <c r="Z75" s="340" t="n">
        <v>0.426542831704639713</v>
      </c>
    </row>
    <row r="76" spans="1:26" s="290" customFormat="1" ht="11.45">
      <c r="A76" s="339" t="s">
        <v>522</v>
      </c>
      <c r="B76" s="124" t="n">
        <v>200</v>
      </c>
      <c r="C76" s="340" t="n">
        <v>0.132945638300000013</v>
      </c>
      <c r="D76" s="340" t="n">
        <v>0.044685377818155283</v>
      </c>
      <c r="E76" s="340" t="n">
        <v>0.127536924149956543</v>
      </c>
      <c r="F76" s="340" t="n">
        <v>0.254279856824360051</v>
      </c>
      <c r="G76" s="341" t="n">
        <v>1.18101963081704998</v>
      </c>
      <c r="H76" s="341" t="n">
        <v>1.23609986700000007</v>
      </c>
      <c r="I76" s="340" t="n">
        <v>0.100738191754000006</v>
      </c>
      <c r="J76" s="340" t="n">
        <v>0.499550876999999982</v>
      </c>
      <c r="K76" s="340" t="n">
        <v>0.0491000000000000014</v>
      </c>
      <c r="L76" s="340" t="n">
        <v>0.108743877816431622</v>
      </c>
      <c r="M76" s="340" t="n">
        <v>0.0938077789393277683</v>
      </c>
      <c r="N76" s="341" t="n">
        <v>3.27246334119759918</v>
      </c>
      <c r="O76" s="341" t="n">
        <v>3.16026122126488662</v>
      </c>
      <c r="P76" s="341" t="n">
        <v>29.7189552207733065</v>
      </c>
      <c r="Q76" s="341" t="n">
        <v>74.5933426330693123</v>
      </c>
      <c r="R76" s="341" t="n">
        <v>7.83707725869681759</v>
      </c>
      <c r="S76" s="341" t="n">
        <v>65.247056349999994</v>
      </c>
      <c r="T76" s="340" t="n">
        <v>0.00945639555657730213</v>
      </c>
      <c r="U76" s="340" t="n">
        <v>0.0433865632844310145</v>
      </c>
      <c r="V76" s="340" t="n">
        <v>0.0413875578459266524</v>
      </c>
      <c r="W76" s="340" t="n">
        <v>1.55781183569535813</v>
      </c>
      <c r="X76" s="340" t="n">
        <v>0.140983543474703339</v>
      </c>
      <c r="Y76" s="340" t="n">
        <v>0.115065856363558905</v>
      </c>
      <c r="Z76" s="340" t="n">
        <v>0.115065856363558905</v>
      </c>
    </row>
    <row r="77" spans="1:26" s="290" customFormat="1" ht="11.45">
      <c r="A77" s="339" t="s">
        <v>523</v>
      </c>
      <c r="B77" s="124" t="n">
        <v>503</v>
      </c>
      <c r="C77" s="340" t="n">
        <v>0.0337432782400000075</v>
      </c>
      <c r="D77" s="340" t="n">
        <v>0.062229059321321909</v>
      </c>
      <c r="E77" s="340" t="n">
        <v>0.119524832064454678</v>
      </c>
      <c r="F77" s="340" t="n">
        <v>0.301225110545647112</v>
      </c>
      <c r="G77" s="341" t="n">
        <v>0.818615041222220086</v>
      </c>
      <c r="H77" s="341" t="n">
        <v>0.982198576000000045</v>
      </c>
      <c r="I77" s="340" t="n">
        <v>0.0849963117120000078</v>
      </c>
      <c r="J77" s="340" t="n">
        <v>0.393998923000000012</v>
      </c>
      <c r="K77" s="340" t="n">
        <v>0.0461000000000000032</v>
      </c>
      <c r="L77" s="340" t="n">
        <v>0.264735736625163964</v>
      </c>
      <c r="M77" s="340" t="n">
        <v>0.0716931445889128494</v>
      </c>
      <c r="N77" s="341" t="n">
        <v>2.44371081161362813</v>
      </c>
      <c r="O77" s="341" t="n">
        <v>1.05123046780319074</v>
      </c>
      <c r="P77" s="341" t="n">
        <v>9.01466361856815546</v>
      </c>
      <c r="Q77" s="341" t="n">
        <v>16.7885923694251531</v>
      </c>
      <c r="R77" s="341" t="n">
        <v>3.18753736508035601</v>
      </c>
      <c r="S77" s="341" t="n">
        <v>41.9081951699999991</v>
      </c>
      <c r="T77" s="340" t="n">
        <v>0.0680943239829409741</v>
      </c>
      <c r="U77" s="340" t="n">
        <v>0.0202224159580072449</v>
      </c>
      <c r="V77" s="340" t="n">
        <v>0.00617198369680525083</v>
      </c>
      <c r="W77" s="340" t="n">
        <v>0.124577570854409192</v>
      </c>
      <c r="X77" s="340" t="n">
        <v>0.1460596491542002</v>
      </c>
      <c r="Y77" s="340" t="n">
        <v>0.412052133918605534</v>
      </c>
      <c r="Z77" s="340" t="n">
        <v>0.412052133918605357</v>
      </c>
    </row>
    <row r="78" spans="1:26" s="290" customFormat="1" ht="11.45">
      <c r="A78" s="339" t="s">
        <v>524</v>
      </c>
      <c r="B78" s="124" t="n">
        <v>94</v>
      </c>
      <c r="C78" s="340" t="n">
        <v>-0.00933271429000000019</v>
      </c>
      <c r="D78" s="340" t="n">
        <v>0.100054211441711693</v>
      </c>
      <c r="E78" s="340" t="n">
        <v>0.11116731442991048</v>
      </c>
      <c r="F78" s="340" t="n">
        <v>0.262107532157733214</v>
      </c>
      <c r="G78" s="341" t="n">
        <v>0.822962045653891572</v>
      </c>
      <c r="H78" s="341" t="n">
        <v>0.966575657000000099</v>
      </c>
      <c r="I78" s="340" t="n">
        <v>0.0840276907340000001</v>
      </c>
      <c r="J78" s="340" t="n">
        <v>0.292550197000000001</v>
      </c>
      <c r="K78" s="340" t="n">
        <v>0.0461000000000000032</v>
      </c>
      <c r="L78" s="340" t="n">
        <v>0.252924109202745218</v>
      </c>
      <c r="M78" s="340" t="n">
        <v>0.0715630542477309195</v>
      </c>
      <c r="N78" s="341" t="n">
        <v>1.34699199165191752</v>
      </c>
      <c r="O78" s="341" t="n">
        <v>1.25373039355792981</v>
      </c>
      <c r="P78" s="341" t="n">
        <v>7.76833726393747881</v>
      </c>
      <c r="Q78" s="341" t="n">
        <v>12.4750383779010576</v>
      </c>
      <c r="R78" s="341" t="n">
        <v>1.82799117333924492</v>
      </c>
      <c r="S78" s="341" t="n">
        <v>29.8356092299999993</v>
      </c>
      <c r="T78" s="340" t="n">
        <v>0.206137949550012234</v>
      </c>
      <c r="U78" s="340" t="n">
        <v>0.0490966727420987237</v>
      </c>
      <c r="V78" s="340" t="n">
        <v>0.0210493784215994006</v>
      </c>
      <c r="W78" s="340" t="n">
        <v>0.482730186256916483</v>
      </c>
      <c r="X78" s="340" t="n">
        <v>0.120788172263199689</v>
      </c>
      <c r="Y78" s="340" t="n">
        <v>0.35783652751413686</v>
      </c>
      <c r="Z78" s="340" t="n">
        <v>0.35783652751413686</v>
      </c>
    </row>
    <row r="79" spans="1:26" s="290" customFormat="1" ht="11.45">
      <c r="A79" s="339" t="s">
        <v>525</v>
      </c>
      <c r="B79" s="124" t="n">
        <v>542</v>
      </c>
      <c r="C79" s="340" t="n">
        <v>0.0603506443899999834</v>
      </c>
      <c r="D79" s="340" t="n">
        <v>0.207796617795478067</v>
      </c>
      <c r="E79" s="340" t="n">
        <v>0.14713502607644779</v>
      </c>
      <c r="F79" s="340" t="n">
        <v>0.164430228195496824</v>
      </c>
      <c r="G79" s="341" t="n">
        <v>1.45738382272873146</v>
      </c>
      <c r="H79" s="341" t="n">
        <v>1.49376706099999996</v>
      </c>
      <c r="I79" s="340" t="n">
        <v>0.11671355778200001</v>
      </c>
      <c r="J79" s="340" t="n">
        <v>0.37936019700000001</v>
      </c>
      <c r="K79" s="340" t="n">
        <v>0.0461000000000000032</v>
      </c>
      <c r="L79" s="340" t="n">
        <v>0.135277501622875862</v>
      </c>
      <c r="M79" s="340" t="n">
        <v>0.105625133181796649</v>
      </c>
      <c r="N79" s="341" t="n">
        <v>0.787885308747211521</v>
      </c>
      <c r="O79" s="341" t="n">
        <v>3.86628934226708143</v>
      </c>
      <c r="P79" s="341" t="n">
        <v>11.1835952941391401</v>
      </c>
      <c r="Q79" s="341" t="n">
        <v>18.46434433808788</v>
      </c>
      <c r="R79" s="341" t="n">
        <v>3.07516816423500039</v>
      </c>
      <c r="S79" s="341" t="n">
        <v>54.9062111300000026</v>
      </c>
      <c r="T79" s="340" t="n">
        <v>0.19790964891274621</v>
      </c>
      <c r="U79" s="340" t="n">
        <v>0.153164174803302462</v>
      </c>
      <c r="V79" s="340" t="n">
        <v>0.148141440735431988</v>
      </c>
      <c r="W79" s="340" t="n">
        <v>1.08910040393620555</v>
      </c>
      <c r="X79" s="340" t="n">
        <v>0.174234833092958201</v>
      </c>
      <c r="Y79" s="340" t="n">
        <v>0.384637922854495109</v>
      </c>
      <c r="Z79" s="340" t="n">
        <v>0.384637922854495109</v>
      </c>
    </row>
    <row r="80" spans="1:26" s="290" customFormat="1" ht="11.45">
      <c r="A80" s="339" t="s">
        <v>526</v>
      </c>
      <c r="B80" s="124" t="n">
        <v>284</v>
      </c>
      <c r="C80" s="340" t="n">
        <v>0.0792181553399999849</v>
      </c>
      <c r="D80" s="340" t="n">
        <v>0.193102066616895751</v>
      </c>
      <c r="E80" s="340" t="n">
        <v>0.202269502252066902</v>
      </c>
      <c r="F80" s="340" t="n">
        <v>0.154964334452323715</v>
      </c>
      <c r="G80" s="341" t="n">
        <v>1.28684650783118592</v>
      </c>
      <c r="H80" s="341" t="n">
        <v>1.2832903790000001</v>
      </c>
      <c r="I80" s="340" t="n">
        <v>0.103664003498000001</v>
      </c>
      <c r="J80" s="340" t="n">
        <v>0.438838162999999959</v>
      </c>
      <c r="K80" s="340" t="n">
        <v>0.0491000000000000014</v>
      </c>
      <c r="L80" s="340" t="n">
        <v>0.0949857873062971869</v>
      </c>
      <c r="M80" s="340" t="n">
        <v>0.0973325041959540549</v>
      </c>
      <c r="N80" s="341" t="n">
        <v>1.18893531335339752</v>
      </c>
      <c r="O80" s="341" t="n">
        <v>3.19850288440964858</v>
      </c>
      <c r="P80" s="341" t="n">
        <v>13.3198665061398884</v>
      </c>
      <c r="Q80" s="341" t="n">
        <v>17.0953765154984936</v>
      </c>
      <c r="R80" s="341" t="n">
        <v>3.92384653538683636</v>
      </c>
      <c r="S80" s="341" t="n">
        <v>39.9305267599999993</v>
      </c>
      <c r="T80" s="340" t="n">
        <v>0.259911351356748632</v>
      </c>
      <c r="U80" s="340" t="n">
        <v>0.0551958940326578507</v>
      </c>
      <c r="V80" s="340" t="n">
        <v>0.0772021575957027295</v>
      </c>
      <c r="W80" s="340" t="n">
        <v>0.680606747984115046</v>
      </c>
      <c r="X80" s="340" t="n">
        <v>0.235758810024624132</v>
      </c>
      <c r="Y80" s="340" t="n">
        <v>0.214853021212937456</v>
      </c>
      <c r="Z80" s="340" t="n">
        <v>0.214853021212937323</v>
      </c>
    </row>
    <row r="81" spans="1:26" s="290" customFormat="1" ht="11.45">
      <c r="A81" s="339" t="s">
        <v>527</v>
      </c>
      <c r="B81" s="124" t="n">
        <v>342</v>
      </c>
      <c r="C81" s="340" t="n">
        <v>0.0204276893900000012</v>
      </c>
      <c r="D81" s="340" t="n">
        <v>0.06929243288467962</v>
      </c>
      <c r="E81" s="340" t="n">
        <v>0.0451505056827051199</v>
      </c>
      <c r="F81" s="340" t="n">
        <v>0.17980259555864424</v>
      </c>
      <c r="G81" s="341" t="n">
        <v>0.969068473769023875</v>
      </c>
      <c r="H81" s="341" t="n">
        <v>1.35301579499999991</v>
      </c>
      <c r="I81" s="340" t="n">
        <v>0.107986979289999985</v>
      </c>
      <c r="J81" s="340" t="n">
        <v>0.35848374999999999</v>
      </c>
      <c r="K81" s="340" t="n">
        <v>0.0461000000000000032</v>
      </c>
      <c r="L81" s="340" t="n">
        <v>0.414838851053011304</v>
      </c>
      <c r="M81" s="340" t="n">
        <v>0.0776035972106330618</v>
      </c>
      <c r="N81" s="341" t="n">
        <v>0.749343035117403833</v>
      </c>
      <c r="O81" s="341" t="n">
        <v>1.81866593629808904</v>
      </c>
      <c r="P81" s="341" t="n">
        <v>10.8506831895008506</v>
      </c>
      <c r="Q81" s="341" t="n">
        <v>25.6893863507688174</v>
      </c>
      <c r="R81" s="341" t="n">
        <v>1.34336174939754338</v>
      </c>
      <c r="S81" s="341" t="n">
        <v>36.1555368300000026</v>
      </c>
      <c r="T81" s="340" t="n">
        <v>0.0525908008915007219</v>
      </c>
      <c r="U81" s="340" t="n">
        <v>0.103876366548060228</v>
      </c>
      <c r="V81" s="340" t="n">
        <v>0.072556625434895663</v>
      </c>
      <c r="W81" s="340" t="n">
        <v>1.3525646568672125</v>
      </c>
      <c r="X81" s="340" t="n">
        <v>0.0118634857820079676</v>
      </c>
      <c r="Y81" s="340" t="n">
        <v>4.68404726239641445</v>
      </c>
      <c r="Z81" s="340" t="n">
        <v>4.68404726239641445</v>
      </c>
    </row>
    <row r="82" spans="1:26" s="290" customFormat="1" ht="11.45">
      <c r="A82" s="339" t="s">
        <v>528</v>
      </c>
      <c r="B82" s="124" t="n">
        <v>85</v>
      </c>
      <c r="C82" s="340" t="n">
        <v>0.0131847692300000019</v>
      </c>
      <c r="D82" s="340" t="n">
        <v>0.0961276053230112026</v>
      </c>
      <c r="E82" s="340" t="n">
        <v>0.146741785132136986</v>
      </c>
      <c r="F82" s="340" t="n">
        <v>0.163587342248855201</v>
      </c>
      <c r="G82" s="341" t="n">
        <v>1.0794114181989618</v>
      </c>
      <c r="H82" s="341" t="n">
        <v>1.10748609299999989</v>
      </c>
      <c r="I82" s="340" t="n">
        <v>0.0927641377660000011</v>
      </c>
      <c r="J82" s="340" t="n">
        <v>0.379340221</v>
      </c>
      <c r="K82" s="340" t="n">
        <v>0.0461000000000000032</v>
      </c>
      <c r="L82" s="340" t="n">
        <v>0.111679260858718687</v>
      </c>
      <c r="M82" s="340" t="n">
        <v>0.0862846670018116413</v>
      </c>
      <c r="N82" s="341" t="n">
        <v>1.86630192791961473</v>
      </c>
      <c r="O82" s="341" t="n">
        <v>2.04220216723992909</v>
      </c>
      <c r="P82" s="341" t="n">
        <v>14.6665172243311677</v>
      </c>
      <c r="Q82" s="341" t="n">
        <v>21.1693058592692864</v>
      </c>
      <c r="R82" s="341" t="n">
        <v>4.05294590721067216</v>
      </c>
      <c r="S82" s="341" t="n">
        <v>36.4494728299999977</v>
      </c>
      <c r="T82" s="340" t="n">
        <v>0.196305320787201598</v>
      </c>
      <c r="U82" s="340" t="n">
        <v>0.0172850646825162224</v>
      </c>
      <c r="V82" s="340" t="n">
        <v>-0.00374421643541810045</v>
      </c>
      <c r="W82" s="340" t="n">
        <v>0.0339630378925583898</v>
      </c>
      <c r="X82" s="340" t="n">
        <v>0.176986458152534247</v>
      </c>
      <c r="Y82" s="340" t="n">
        <v>0.358515455229130042</v>
      </c>
      <c r="Z82" s="340" t="n">
        <v>0.358515455229130087</v>
      </c>
    </row>
    <row r="83" spans="1:26" s="290" customFormat="1" ht="11.45">
      <c r="A83" s="339" t="s">
        <v>529</v>
      </c>
      <c r="B83" s="124" t="n">
        <v>128</v>
      </c>
      <c r="C83" s="340" t="n">
        <v>0.100002058799999993</v>
      </c>
      <c r="D83" s="340" t="n">
        <v>0.204156932795626034</v>
      </c>
      <c r="E83" s="340" t="n">
        <v>0.192640757374295841</v>
      </c>
      <c r="F83" s="340" t="n">
        <v>0.204795878798859476</v>
      </c>
      <c r="G83" s="341" t="n">
        <v>1.35543554055225313</v>
      </c>
      <c r="H83" s="341" t="n">
        <v>1.26629195800000005</v>
      </c>
      <c r="I83" s="340" t="n">
        <v>0.102610101395999997</v>
      </c>
      <c r="J83" s="340" t="n">
        <v>0.514927263000000046</v>
      </c>
      <c r="K83" s="340" t="n">
        <v>0.0491000000000000014</v>
      </c>
      <c r="L83" s="340" t="n">
        <v>0.0418227004825595916</v>
      </c>
      <c r="M83" s="340" t="n">
        <v>0.099866388734096958</v>
      </c>
      <c r="N83" s="341" t="n">
        <v>1.0487005952613675</v>
      </c>
      <c r="O83" s="341" t="n">
        <v>5.28316829505914853</v>
      </c>
      <c r="P83" s="341" t="n">
        <v>21.1063010928245447</v>
      </c>
      <c r="Q83" s="341" t="n">
        <v>26.24787255552285</v>
      </c>
      <c r="R83" s="341" t="n">
        <v>4.32691816781289251</v>
      </c>
      <c r="S83" s="341" t="n">
        <v>55.1364955800000018</v>
      </c>
      <c r="T83" s="340" t="n">
        <v>0.13399986087979312</v>
      </c>
      <c r="U83" s="340" t="n">
        <v>0.0283092128790418016</v>
      </c>
      <c r="V83" s="340" t="n">
        <v>0.0245906687779135069</v>
      </c>
      <c r="W83" s="340" t="n">
        <v>0.314430895057393212</v>
      </c>
      <c r="X83" s="340" t="n">
        <v>0.138222569367210092</v>
      </c>
      <c r="Y83" s="340" t="n">
        <v>0.234328653484179439</v>
      </c>
      <c r="Z83" s="340" t="n">
        <v>0.234328653484179439</v>
      </c>
    </row>
    <row r="84" spans="1:26" s="290" customFormat="1" ht="11.45">
      <c r="A84" s="339" t="s">
        <v>530</v>
      </c>
      <c r="B84" s="124" t="n">
        <v>880</v>
      </c>
      <c r="C84" s="340" t="n">
        <v>0.138531491700000009</v>
      </c>
      <c r="D84" s="340" t="n">
        <v>0.235280479894785977</v>
      </c>
      <c r="E84" s="340" t="n">
        <v>0.174051131844609541</v>
      </c>
      <c r="F84" s="340" t="n">
        <v>0.179766872627253349</v>
      </c>
      <c r="G84" s="341" t="n">
        <v>1.24791311832158391</v>
      </c>
      <c r="H84" s="341" t="n">
        <v>1.24456798000000002</v>
      </c>
      <c r="I84" s="340" t="n">
        <v>0.101263214759999998</v>
      </c>
      <c r="J84" s="340" t="n">
        <v>0.572889750999999947</v>
      </c>
      <c r="K84" s="340" t="n">
        <v>0.0491000000000000014</v>
      </c>
      <c r="L84" s="340" t="n">
        <v>0.0373092985323065296</v>
      </c>
      <c r="M84" s="340" t="n">
        <v>0.098865848148894635</v>
      </c>
      <c r="N84" s="341" t="n">
        <v>0.800671164502642974</v>
      </c>
      <c r="O84" s="341" t="n">
        <v>7.8152130185061246</v>
      </c>
      <c r="P84" s="341" t="n">
        <v>24.243887508950106</v>
      </c>
      <c r="Q84" s="341" t="n">
        <v>33.945512857943605</v>
      </c>
      <c r="R84" s="341" t="n">
        <v>5.58161667488869284</v>
      </c>
      <c r="S84" s="341" t="n">
        <v>95.1077560500000061</v>
      </c>
      <c r="T84" s="340" t="n">
        <v>0.0509717670297773573</v>
      </c>
      <c r="U84" s="340" t="n">
        <v>0.0801286400504350027</v>
      </c>
      <c r="V84" s="340" t="n">
        <v>0.0608031610727835403</v>
      </c>
      <c r="W84" s="340" t="n">
        <v>0.452576421771503234</v>
      </c>
      <c r="X84" s="340" t="n">
        <v>0.185696555883413801</v>
      </c>
      <c r="Y84" s="340" t="n">
        <v>0.0547002998037835297</v>
      </c>
      <c r="Z84" s="340" t="n">
        <v>0.0547002998037835386</v>
      </c>
    </row>
    <row r="85" spans="1:26" s="290" customFormat="1" ht="11.45">
      <c r="A85" s="339" t="s">
        <v>531</v>
      </c>
      <c r="B85" s="124" t="n">
        <v>1075</v>
      </c>
      <c r="C85" s="340" t="n">
        <v>0.138829034500000015</v>
      </c>
      <c r="D85" s="340" t="n">
        <v>0.192766610488925831</v>
      </c>
      <c r="E85" s="340" t="n">
        <v>0.154487355378380231</v>
      </c>
      <c r="F85" s="340" t="n">
        <v>0.168980754882602895</v>
      </c>
      <c r="G85" s="341" t="n">
        <v>1.111414438304829</v>
      </c>
      <c r="H85" s="341" t="n">
        <v>1.15817427100000003</v>
      </c>
      <c r="I85" s="340" t="n">
        <v>0.0959068048019999964</v>
      </c>
      <c r="J85" s="340" t="n">
        <v>0.48587656499999996</v>
      </c>
      <c r="K85" s="340" t="n">
        <v>0.0491000000000000014</v>
      </c>
      <c r="L85" s="340" t="n">
        <v>0.10603711495720336</v>
      </c>
      <c r="M85" s="340" t="n">
        <v>0.089661204437005555</v>
      </c>
      <c r="N85" s="341" t="n">
        <v>0.881255811962401836</v>
      </c>
      <c r="O85" s="341" t="n">
        <v>6.36402612879864193</v>
      </c>
      <c r="P85" s="341" t="n">
        <v>22.5375482077879212</v>
      </c>
      <c r="Q85" s="341" t="n">
        <v>33.4982671600926025</v>
      </c>
      <c r="R85" s="341" t="n">
        <v>5.896794907128454</v>
      </c>
      <c r="S85" s="341" t="n">
        <v>97.068528409999999</v>
      </c>
      <c r="T85" s="340" t="n">
        <v>0.139573367747498223</v>
      </c>
      <c r="U85" s="340" t="n">
        <v>0.0514273544347848421</v>
      </c>
      <c r="V85" s="340" t="n">
        <v>0.141784458741419854</v>
      </c>
      <c r="W85" s="340" t="n">
        <v>1.04767789181548232</v>
      </c>
      <c r="X85" s="340" t="n">
        <v>0.15069455293493057</v>
      </c>
      <c r="Y85" s="340" t="n">
        <v>0.475179579274140007</v>
      </c>
      <c r="Z85" s="340" t="n">
        <v>0.475179579274140007</v>
      </c>
    </row>
    <row r="86" spans="1:26" s="290" customFormat="1" ht="11.45">
      <c r="A86" s="339" t="s">
        <v>532</v>
      </c>
      <c r="B86" s="124" t="n">
        <v>735</v>
      </c>
      <c r="C86" s="340" t="n">
        <v>-0.0132632368899999986</v>
      </c>
      <c r="D86" s="340" t="n">
        <v>0.081142647516137032</v>
      </c>
      <c r="E86" s="340" t="n">
        <v>0.088940439519546981</v>
      </c>
      <c r="F86" s="340" t="n">
        <v>0.217709273151064941</v>
      </c>
      <c r="G86" s="341" t="n">
        <v>1.00123416648352137</v>
      </c>
      <c r="H86" s="341" t="n">
        <v>1.30997407100000007</v>
      </c>
      <c r="I86" s="340" t="n">
        <v>0.105318392402000005</v>
      </c>
      <c r="J86" s="340" t="n">
        <v>0.430885622000000001</v>
      </c>
      <c r="K86" s="340" t="n">
        <v>0.0491000000000000014</v>
      </c>
      <c r="L86" s="340" t="n">
        <v>0.356056219037814703</v>
      </c>
      <c r="M86" s="340" t="n">
        <v>0.0809955788075830974</v>
      </c>
      <c r="N86" s="341" t="n">
        <v>1.27722977764882484</v>
      </c>
      <c r="O86" s="341" t="n">
        <v>1.02315580747727264</v>
      </c>
      <c r="P86" s="341" t="n">
        <v>7.42079500040346218</v>
      </c>
      <c r="Q86" s="341" t="n">
        <v>12.2321503910203422</v>
      </c>
      <c r="R86" s="341" t="n">
        <v>1.28667210992052382</v>
      </c>
      <c r="S86" s="341" t="n">
        <v>39.9437884900000029</v>
      </c>
      <c r="T86" s="340" t="n">
        <v>0.142678668866410296</v>
      </c>
      <c r="U86" s="340" t="n">
        <v>0.0470578893235299578</v>
      </c>
      <c r="V86" s="340" t="n">
        <v>0.0220931153539070113</v>
      </c>
      <c r="W86" s="340" t="n">
        <v>0.717728184162528837</v>
      </c>
      <c r="X86" s="340" t="n">
        <v>0.096227136237747608</v>
      </c>
      <c r="Y86" s="340" t="n">
        <v>0.348883013326072478</v>
      </c>
      <c r="Z86" s="340" t="n">
        <v>0.348883013326072478</v>
      </c>
    </row>
    <row r="87" spans="1:26" s="290" customFormat="1" ht="11.45">
      <c r="A87" s="339" t="s">
        <v>533</v>
      </c>
      <c r="B87" s="124" t="n">
        <v>106</v>
      </c>
      <c r="C87" s="340" t="n">
        <v>0.0163028395100000001</v>
      </c>
      <c r="D87" s="340" t="n">
        <v>0.135169811215131941</v>
      </c>
      <c r="E87" s="340" t="n">
        <v>0.0840757622241758895</v>
      </c>
      <c r="F87" s="340" t="n">
        <v>0.329481591156958453</v>
      </c>
      <c r="G87" s="341" t="n">
        <v>0.873390351107833496</v>
      </c>
      <c r="H87" s="341" t="n">
        <v>1.19569321700000009</v>
      </c>
      <c r="I87" s="340" t="n">
        <v>0.0982329794540000023</v>
      </c>
      <c r="J87" s="340" t="n">
        <v>0.308768672999999971</v>
      </c>
      <c r="K87" s="340" t="n">
        <v>0.0461000000000000032</v>
      </c>
      <c r="L87" s="340" t="n">
        <v>0.3676469946189588</v>
      </c>
      <c r="M87" s="340" t="n">
        <v>0.0748920241720936186</v>
      </c>
      <c r="N87" s="341" t="n">
        <v>0.73895997264138833</v>
      </c>
      <c r="O87" s="341" t="n">
        <v>2.26614335560622004</v>
      </c>
      <c r="P87" s="341" t="n">
        <v>6.61874778248798723</v>
      </c>
      <c r="Q87" s="341" t="n">
        <v>16.8443334644396607</v>
      </c>
      <c r="R87" s="341" t="n">
        <v>1.73899318145298398</v>
      </c>
      <c r="S87" s="341" t="n">
        <v>37.8490145700000014</v>
      </c>
      <c r="T87" s="340" t="n">
        <v>-0.0151445781259230072</v>
      </c>
      <c r="U87" s="340" t="n">
        <v>0.121325142599333091</v>
      </c>
      <c r="V87" s="340" t="n">
        <v>-0.0256020221876562371</v>
      </c>
      <c r="W87" s="340" t="n">
        <v>-0.0993352024574095793</v>
      </c>
      <c r="X87" s="340" t="n">
        <v>0.0906732412119585973</v>
      </c>
      <c r="Y87" s="340" t="n">
        <v>0.618557804198727545</v>
      </c>
      <c r="Z87" s="340" t="n">
        <v>0.618557804198727545</v>
      </c>
    </row>
    <row r="88" spans="1:26" s="290" customFormat="1" ht="11.45">
      <c r="A88" s="339" t="s">
        <v>534</v>
      </c>
      <c r="B88" s="124" t="n">
        <v>505</v>
      </c>
      <c r="C88" s="340" t="n">
        <v>0.0498570520200000011</v>
      </c>
      <c r="D88" s="340" t="n">
        <v>0.101937521050718205</v>
      </c>
      <c r="E88" s="340" t="n">
        <v>0.0948954184555065794</v>
      </c>
      <c r="F88" s="340" t="n">
        <v>0.206697021138811277</v>
      </c>
      <c r="G88" s="341" t="n">
        <v>1.21908937082216884</v>
      </c>
      <c r="H88" s="341" t="n">
        <v>1.26620279100000022</v>
      </c>
      <c r="I88" s="340" t="n">
        <v>0.102604573042000013</v>
      </c>
      <c r="J88" s="340" t="n">
        <v>0.436468436999999998</v>
      </c>
      <c r="K88" s="340" t="n">
        <v>0.0491000000000000014</v>
      </c>
      <c r="L88" s="340" t="n">
        <v>0.151057383082966545</v>
      </c>
      <c r="M88" s="340" t="n">
        <v>0.092695525472745306</v>
      </c>
      <c r="N88" s="341" t="n">
        <v>1.02914093341126023</v>
      </c>
      <c r="O88" s="341" t="n">
        <v>2.36744787507574506</v>
      </c>
      <c r="P88" s="341" t="n">
        <v>15.2519372730261633</v>
      </c>
      <c r="Q88" s="341" t="n">
        <v>23.795204406387807</v>
      </c>
      <c r="R88" s="341" t="n">
        <v>2.87566587304858814</v>
      </c>
      <c r="S88" s="341" t="n">
        <v>69.6626389399999937</v>
      </c>
      <c r="T88" s="340" t="n">
        <v>0.189141274442701697</v>
      </c>
      <c r="U88" s="340" t="n">
        <v>0.0352364416086415266</v>
      </c>
      <c r="V88" s="340" t="n">
        <v>0.0415312146979492169</v>
      </c>
      <c r="W88" s="340" t="n">
        <v>0.7441822559123211</v>
      </c>
      <c r="X88" s="340" t="n">
        <v>0.0769967265504153886</v>
      </c>
      <c r="Y88" s="340" t="n">
        <v>0.704122123700207414</v>
      </c>
      <c r="Z88" s="340" t="n">
        <v>0.704122123700207414</v>
      </c>
    </row>
    <row r="89" spans="1:26" s="290" customFormat="1" ht="11.45">
      <c r="A89" s="339" t="s">
        <v>535</v>
      </c>
      <c r="B89" s="124" t="n">
        <v>289</v>
      </c>
      <c r="C89" s="340" t="n">
        <v>0.0808586559099999747</v>
      </c>
      <c r="D89" s="340" t="n">
        <v>0.152240249086886248</v>
      </c>
      <c r="E89" s="340" t="n">
        <v>0.126897983299073625</v>
      </c>
      <c r="F89" s="340" t="n">
        <v>0.291874155739931052</v>
      </c>
      <c r="G89" s="341" t="n">
        <v>0.703118162070510344</v>
      </c>
      <c r="H89" s="341" t="n">
        <v>0.997523746000000067</v>
      </c>
      <c r="I89" s="340" t="n">
        <v>0.0859464722520000102</v>
      </c>
      <c r="J89" s="340" t="n">
        <v>0.355319176000000025</v>
      </c>
      <c r="K89" s="340" t="n">
        <v>0.0461000000000000032</v>
      </c>
      <c r="L89" s="340" t="n">
        <v>0.395632537346734878</v>
      </c>
      <c r="M89" s="340" t="n">
        <v>0.0656897293795990933</v>
      </c>
      <c r="N89" s="341" t="n">
        <v>0.963881703226924991</v>
      </c>
      <c r="O89" s="341" t="n">
        <v>2.1455452914742712</v>
      </c>
      <c r="P89" s="341" t="n">
        <v>6.54778550137433601</v>
      </c>
      <c r="Q89" s="341" t="n">
        <v>14.0818026872265243</v>
      </c>
      <c r="R89" s="341" t="n">
        <v>1.95614323060728488</v>
      </c>
      <c r="S89" s="341" t="n">
        <v>118.797390500000006</v>
      </c>
      <c r="T89" s="340" t="n">
        <v>-0.0276890311978214676</v>
      </c>
      <c r="U89" s="340" t="n">
        <v>0.131638785345960962</v>
      </c>
      <c r="V89" s="340" t="n">
        <v>-0.0153531728800875911</v>
      </c>
      <c r="W89" s="340" t="n">
        <v>-0.0333167168873549313</v>
      </c>
      <c r="X89" s="340" t="n">
        <v>0.125077982804773913</v>
      </c>
      <c r="Y89" s="340" t="n">
        <v>0.78880360544614625</v>
      </c>
      <c r="Z89" s="340" t="n">
        <v>0.78880360544614625</v>
      </c>
    </row>
    <row r="90" spans="1:26" s="290" customFormat="1" ht="11.45">
      <c r="A90" s="339" t="s">
        <v>536</v>
      </c>
      <c r="B90" s="124" t="n">
        <v>62</v>
      </c>
      <c r="C90" s="340" t="n">
        <v>0.226109166700000053</v>
      </c>
      <c r="D90" s="340" t="n">
        <v>0.311913976366718249</v>
      </c>
      <c r="E90" s="340" t="n">
        <v>0.410837500512852571</v>
      </c>
      <c r="F90" s="340" t="n">
        <v>0.291243937954034138</v>
      </c>
      <c r="G90" s="341" t="n">
        <v>0.627317495503461231</v>
      </c>
      <c r="H90" s="341" t="n">
        <v>0.679943544999999983</v>
      </c>
      <c r="I90" s="340" t="n">
        <v>0.0662564997899999852</v>
      </c>
      <c r="J90" s="340" t="n">
        <v>0.279628288000000014</v>
      </c>
      <c r="K90" s="340" t="n">
        <v>0.0461000000000000032</v>
      </c>
      <c r="L90" s="340" t="n">
        <v>0.129100289600477925</v>
      </c>
      <c r="M90" s="340" t="n">
        <v>0.0621884296285306615</v>
      </c>
      <c r="N90" s="341" t="n">
        <v>1.54714307286295671</v>
      </c>
      <c r="O90" s="341" t="n">
        <v>5.62473915177146377</v>
      </c>
      <c r="P90" s="341" t="n">
        <v>15.7904364545512035</v>
      </c>
      <c r="Q90" s="341" t="n">
        <v>17.9796021225353009</v>
      </c>
      <c r="R90" s="341" t="n">
        <v>11.3545787355810113</v>
      </c>
      <c r="S90" s="341" t="n">
        <v>23.6825198199999996</v>
      </c>
      <c r="T90" s="340" t="n">
        <v>0.210165831330698882</v>
      </c>
      <c r="U90" s="340" t="n">
        <v>0.037253449014630915</v>
      </c>
      <c r="V90" s="340" t="n">
        <v>-0.017768818993427649</v>
      </c>
      <c r="W90" s="340" t="n">
        <v>-0.0951710141723480874</v>
      </c>
      <c r="X90" s="340" t="n">
        <v>0.885823511316678314</v>
      </c>
      <c r="Y90" s="340" t="n">
        <v>0.598754534030186392</v>
      </c>
      <c r="Z90" s="340" t="n">
        <v>0.598754534030186392</v>
      </c>
    </row>
    <row r="91" spans="1:26" s="290" customFormat="1" ht="11.45">
      <c r="A91" s="339" t="s">
        <v>537</v>
      </c>
      <c r="B91" s="124" t="n">
        <v>235</v>
      </c>
      <c r="C91" s="340" t="n">
        <v>0.102764293800000006</v>
      </c>
      <c r="D91" s="340" t="n">
        <v>0.0872231511710751661</v>
      </c>
      <c r="E91" s="340" t="n">
        <v>0.125802700478152873</v>
      </c>
      <c r="F91" s="340" t="n">
        <v>0.260917129083026067</v>
      </c>
      <c r="G91" s="341" t="n">
        <v>1.00332264511947944</v>
      </c>
      <c r="H91" s="341" t="n">
        <v>1.20836120700000005</v>
      </c>
      <c r="I91" s="340" t="n">
        <v>0.0990183948339999986</v>
      </c>
      <c r="J91" s="340" t="n">
        <v>0.32141587300000003</v>
      </c>
      <c r="K91" s="340" t="n">
        <v>0.0461000000000000032</v>
      </c>
      <c r="L91" s="340" t="n">
        <v>0.286378847949847692</v>
      </c>
      <c r="M91" s="340" t="n">
        <v>0.0806120173035567333</v>
      </c>
      <c r="N91" s="341" t="n">
        <v>1.78776851782407835</v>
      </c>
      <c r="O91" s="341" t="n">
        <v>1.51539794523662774</v>
      </c>
      <c r="P91" s="341" t="n">
        <v>10.627143414718466</v>
      </c>
      <c r="Q91" s="341" t="n">
        <v>17.0197359537178343</v>
      </c>
      <c r="R91" s="341" t="n">
        <v>2.3835713375673766</v>
      </c>
      <c r="S91" s="341" t="n">
        <v>80.252031180000003</v>
      </c>
      <c r="T91" s="340" t="n">
        <v>0.032158400809682508</v>
      </c>
      <c r="U91" s="340" t="n">
        <v>0.0484421032086284153</v>
      </c>
      <c r="V91" s="340" t="n">
        <v>0.00939145206214656092</v>
      </c>
      <c r="W91" s="340" t="n">
        <v>0.308417418408008004</v>
      </c>
      <c r="X91" s="340" t="n">
        <v>0.157046634076228102</v>
      </c>
      <c r="Y91" s="340" t="n">
        <v>0.466896442660173427</v>
      </c>
      <c r="Z91" s="340" t="n">
        <v>0.466896442660173427</v>
      </c>
    </row>
    <row r="92" spans="1:26" s="290" customFormat="1" ht="11.45">
      <c r="A92" s="339" t="s">
        <v>538</v>
      </c>
      <c r="B92" s="124" t="n">
        <v>51</v>
      </c>
      <c r="C92" s="340" t="n">
        <v>0.04887232558</v>
      </c>
      <c r="D92" s="340" t="n">
        <v>0.233310650382094842</v>
      </c>
      <c r="E92" s="340" t="n">
        <v>0.0957282937238528042</v>
      </c>
      <c r="F92" s="340" t="n">
        <v>0.303203699125396531</v>
      </c>
      <c r="G92" s="341" t="n">
        <v>0.774485334535993442</v>
      </c>
      <c r="H92" s="341" t="n">
        <v>0.974557096000000023</v>
      </c>
      <c r="I92" s="340" t="n">
        <v>0.0845225399519999954</v>
      </c>
      <c r="J92" s="340" t="n">
        <v>0.240251722000000001</v>
      </c>
      <c r="K92" s="340" t="n">
        <v>0.0410999999999999943</v>
      </c>
      <c r="L92" s="340" t="n">
        <v>0.277209303945419983</v>
      </c>
      <c r="M92" s="340" t="n">
        <v>0.0696792374971756967</v>
      </c>
      <c r="N92" s="341" t="n">
        <v>0.534543934248821628</v>
      </c>
      <c r="O92" s="341" t="n">
        <v>3.71310294889900305</v>
      </c>
      <c r="P92" s="341" t="n">
        <v>10.8132303718688796</v>
      </c>
      <c r="Q92" s="341" t="n">
        <v>15.8930623220440186</v>
      </c>
      <c r="R92" s="341" t="n">
        <v>2.6146816295565154</v>
      </c>
      <c r="S92" s="341" t="n">
        <v>26.544448469999999</v>
      </c>
      <c r="T92" s="340" t="n">
        <v>0.117658760795908335</v>
      </c>
      <c r="U92" s="340" t="n">
        <v>0.157304193910339141</v>
      </c>
      <c r="V92" s="340" t="n">
        <v>0.116392028937229797</v>
      </c>
      <c r="W92" s="340" t="n">
        <v>0.747584729968326922</v>
      </c>
      <c r="X92" s="340" t="n">
        <v>0.139276475897555652</v>
      </c>
      <c r="Y92" s="340" t="n">
        <v>0.298519385051910326</v>
      </c>
      <c r="Z92" s="340" t="n">
        <v>0.298519385051910326</v>
      </c>
    </row>
    <row r="93" spans="1:26" s="290" customFormat="1" ht="11.45">
      <c r="A93" s="339" t="s">
        <v>539</v>
      </c>
      <c r="B93" s="124" t="n">
        <v>199</v>
      </c>
      <c r="C93" s="340" t="n">
        <v>0.0603952739700000052</v>
      </c>
      <c r="D93" s="340" t="n">
        <v>0.0676097921253754741</v>
      </c>
      <c r="E93" s="340" t="n">
        <v>0.0768933075180386805</v>
      </c>
      <c r="F93" s="340" t="n">
        <v>0.293788514692947977</v>
      </c>
      <c r="G93" s="341" t="n">
        <v>0.62194228569887402</v>
      </c>
      <c r="H93" s="341" t="n">
        <v>0.902339788000000098</v>
      </c>
      <c r="I93" s="340" t="n">
        <v>0.0800450668560000089</v>
      </c>
      <c r="J93" s="340" t="n">
        <v>0.31746524199999997</v>
      </c>
      <c r="K93" s="340" t="n">
        <v>0.0461000000000000032</v>
      </c>
      <c r="L93" s="340" t="n">
        <v>0.412890982002228846</v>
      </c>
      <c r="M93" s="340" t="n">
        <v>0.0613413131149192825</v>
      </c>
      <c r="N93" s="341" t="n">
        <v>1.45005675322940668</v>
      </c>
      <c r="O93" s="341" t="n">
        <v>1.34539992697102795</v>
      </c>
      <c r="P93" s="341" t="n">
        <v>10.092410431363394</v>
      </c>
      <c r="Q93" s="341" t="n">
        <v>19.8306598779778263</v>
      </c>
      <c r="R93" s="341" t="n">
        <v>2.08756982472874952</v>
      </c>
      <c r="S93" s="341" t="n">
        <v>34.2719688299999987</v>
      </c>
      <c r="T93" s="340" t="n">
        <v>0.0792897765634750407</v>
      </c>
      <c r="U93" s="340" t="n">
        <v>0.0861481567271050608</v>
      </c>
      <c r="V93" s="340" t="n">
        <v>0.0575335149443623628</v>
      </c>
      <c r="W93" s="340" t="n">
        <v>1.31185476312706206</v>
      </c>
      <c r="X93" s="340" t="n">
        <v>0.0955859228554752249</v>
      </c>
      <c r="Y93" s="340" t="n">
        <v>0.322413834796352639</v>
      </c>
      <c r="Z93" s="340" t="n">
        <v>0.322413834796352639</v>
      </c>
    </row>
    <row r="94" spans="1:26" s="290" customFormat="1" ht="11.45">
      <c r="A94" s="339" t="s">
        <v>540</v>
      </c>
      <c r="B94" s="124" t="n">
        <v>55</v>
      </c>
      <c r="C94" s="340" t="n">
        <v>0.0126121568599999989</v>
      </c>
      <c r="D94" s="340" t="n">
        <v>0.0973713367417663278</v>
      </c>
      <c r="E94" s="340" t="n">
        <v>0.0635353365100695289</v>
      </c>
      <c r="F94" s="340" t="n">
        <v>0.293478295611616868</v>
      </c>
      <c r="G94" s="341" t="n">
        <v>0.503833576298558317</v>
      </c>
      <c r="H94" s="341" t="n">
        <v>0.789399990000000074</v>
      </c>
      <c r="I94" s="340" t="n">
        <v>0.0730427993800000142</v>
      </c>
      <c r="J94" s="340" t="n">
        <v>0.231413245999999972</v>
      </c>
      <c r="K94" s="340" t="n">
        <v>0.0410999999999999943</v>
      </c>
      <c r="L94" s="340" t="n">
        <v>0.464463801436593915</v>
      </c>
      <c r="M94" s="340" t="n">
        <v>0.0535047908019621765</v>
      </c>
      <c r="N94" s="341" t="n">
        <v>0.89355737233828787</v>
      </c>
      <c r="O94" s="341" t="n">
        <v>1.78245845216128167</v>
      </c>
      <c r="P94" s="341" t="n">
        <v>9.80895682715812534</v>
      </c>
      <c r="Q94" s="341" t="n">
        <v>18.3004135065935998</v>
      </c>
      <c r="R94" s="341" t="n">
        <v>1.67802093221972974</v>
      </c>
      <c r="S94" s="341" t="n">
        <v>29.6989244600000006</v>
      </c>
      <c r="T94" s="340" t="n">
        <v>-0.0150549992349411355</v>
      </c>
      <c r="U94" s="340" t="n">
        <v>0.126675202246386931</v>
      </c>
      <c r="V94" s="340" t="n">
        <v>0.0634235168433550633</v>
      </c>
      <c r="W94" s="340" t="n">
        <v>0.91442046442389131</v>
      </c>
      <c r="X94" s="340" t="n">
        <v>0.0743850896585212951</v>
      </c>
      <c r="Y94" s="340" t="n">
        <v>1.15071702247853724</v>
      </c>
      <c r="Z94" s="340" t="n">
        <v>1.15071702247853724</v>
      </c>
    </row>
    <row r="95" spans="1:26" s="290" customFormat="1" ht="11.45">
      <c r="A95" s="339" t="s">
        <v>541</v>
      </c>
      <c r="B95" s="124" t="n">
        <v>103</v>
      </c>
      <c r="C95" s="340" t="n">
        <v>0.102777462700000011</v>
      </c>
      <c r="D95" s="340" t="n">
        <v>0.266497825892858087</v>
      </c>
      <c r="E95" s="340" t="n">
        <v>0.0826224403413489306</v>
      </c>
      <c r="F95" s="340" t="n">
        <v>0.2313257136148541</v>
      </c>
      <c r="G95" s="341" t="n">
        <v>0.808110615053720593</v>
      </c>
      <c r="H95" s="341" t="n">
        <v>1.09372411799999991</v>
      </c>
      <c r="I95" s="340" t="n">
        <v>0.0919108953159999942</v>
      </c>
      <c r="J95" s="340" t="n">
        <v>0.318726551999999996</v>
      </c>
      <c r="K95" s="340" t="n">
        <v>0.0461000000000000032</v>
      </c>
      <c r="L95" s="340" t="n">
        <v>0.363210027913637168</v>
      </c>
      <c r="M95" s="340" t="n">
        <v>0.071147875912283487</v>
      </c>
      <c r="N95" s="341" t="n">
        <v>0.373024660008712816</v>
      </c>
      <c r="O95" s="341" t="n">
        <v>4.98350889343647463</v>
      </c>
      <c r="P95" s="341" t="n">
        <v>12.6984474296388612</v>
      </c>
      <c r="Q95" s="341" t="n">
        <v>18.5628658255542653</v>
      </c>
      <c r="R95" s="341" t="n">
        <v>1.94068491498624489</v>
      </c>
      <c r="S95" s="341" t="n">
        <v>42.018219049999999</v>
      </c>
      <c r="T95" s="340" t="n">
        <v>0.0490340986259068501</v>
      </c>
      <c r="U95" s="340" t="n">
        <v>0.206983753557312466</v>
      </c>
      <c r="V95" s="340" t="n">
        <v>0.120390380539901787</v>
      </c>
      <c r="W95" s="340" t="n">
        <v>0.956499685771240316</v>
      </c>
      <c r="X95" s="340" t="n">
        <v>0.112312409825612991</v>
      </c>
      <c r="Y95" s="340" t="n">
        <v>0.549314201293212179</v>
      </c>
      <c r="Z95" s="340" t="n">
        <v>0.442646786123957359</v>
      </c>
    </row>
  </sheetData>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headerFooter>
    <extLst>
      <ext uri="smNativeData">
        <pm:header xmlns:pm="smNativeData" id="1696577006" l="56" r="56" t="56" b="56" borderId="0" fillId="0" vertical="0"/>
        <pm:footer xmlns:pm="smNativeData" id="1696577006" l="56" r="56" t="56" b="56" borderId="0" fillId="0" vertical="2"/>
      </ext>
    </extLst>
  </headerFooter>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14.xml><?xml version="1.0" encoding="utf-8"?>
<worksheet xmlns="http://schemas.openxmlformats.org/spreadsheetml/2006/main" xmlns:r="http://schemas.openxmlformats.org/officeDocument/2006/relationships" xmlns:mc="http://schemas.openxmlformats.org/markup-compatibility/2006">
  <dimension ref="A1:G201"/>
  <sheetViews>
    <sheetView view="normal" topLeftCell="A37" workbookViewId="0">
      <selection activeCell="A37" sqref="A37"/>
    </sheetView>
  </sheetViews>
  <sheetFormatPr baseColWidth="10" defaultColWidth="11.500000" defaultRowHeight="11.50"/>
  <cols>
    <col min="1" max="1" width="27.500000" customWidth="1"/>
    <col min="2" max="2" width="15.000000" customWidth="1"/>
    <col min="3" max="3" width="18.500000" customWidth="1"/>
    <col min="4" max="4" width="21.000000" customWidth="1"/>
    <col min="5" max="5" width="20.000000" customWidth="1"/>
    <col min="6" max="6" width="17.666667" customWidth="1"/>
    <col min="7" max="7" width="29.666667" customWidth="1"/>
  </cols>
  <sheetData>
    <row r="1" spans="1:7">
      <c r="A1" s="307" t="s">
        <v>325</v>
      </c>
      <c r="B1" s="247" t="s">
        <v>542</v>
      </c>
      <c r="C1" s="307" t="s">
        <v>543</v>
      </c>
      <c r="D1" s="307" t="s">
        <v>544</v>
      </c>
      <c r="E1" s="308" t="s">
        <v>545</v>
      </c>
      <c r="F1" s="308" t="s">
        <v>546</v>
      </c>
      <c r="G1" s="307" t="s">
        <v>353</v>
      </c>
    </row>
    <row r="2" spans="1:7">
      <c r="A2" s="309" t="s">
        <v>547</v>
      </c>
      <c r="B2" s="247" t="s">
        <v>548</v>
      </c>
      <c r="C2" s="258" t="n">
        <v>0.00508763167183896847</v>
      </c>
      <c r="D2" s="310" t="n">
        <v>0.0565201482060168914</v>
      </c>
      <c r="E2" s="248" t="n">
        <v>0.00572014820601690399</v>
      </c>
      <c r="F2" s="248" t="n">
        <v>0</v>
      </c>
      <c r="G2" s="309" t="s">
        <v>549</v>
      </c>
    </row>
    <row r="3" spans="1:7">
      <c r="A3" s="309" t="s">
        <v>550</v>
      </c>
      <c r="B3" s="247" t="s">
        <v>551</v>
      </c>
      <c r="C3" s="258" t="n">
        <v>0.0461586946226844841</v>
      </c>
      <c r="D3" s="310" t="n">
        <v>0.102697344632771559</v>
      </c>
      <c r="E3" s="248" t="n">
        <v>0.0518973446327715227</v>
      </c>
      <c r="F3" s="248" t="n">
        <v>0.15</v>
      </c>
      <c r="G3" s="309" t="s">
        <v>552</v>
      </c>
    </row>
    <row r="4" spans="1:7">
      <c r="A4" s="309" t="s">
        <v>553</v>
      </c>
      <c r="B4" s="247" t="s">
        <v>457</v>
      </c>
      <c r="C4" s="258" t="n">
        <v>0.0666999999999999815</v>
      </c>
      <c r="D4" s="311" t="n">
        <v>0.12579243458467948</v>
      </c>
      <c r="E4" s="248" t="n">
        <v>0.0749924345846794793</v>
      </c>
      <c r="F4" s="312" t="n">
        <v>0.260000000000000009</v>
      </c>
      <c r="G4" s="309" t="s">
        <v>554</v>
      </c>
    </row>
    <row r="5" spans="1:7">
      <c r="A5" s="309" t="s">
        <v>555</v>
      </c>
      <c r="B5" s="247" t="s">
        <v>556</v>
      </c>
      <c r="C5" s="258" t="n">
        <v>0.019518005141054962</v>
      </c>
      <c r="D5" s="310" t="n">
        <v>0.0727445685721739377</v>
      </c>
      <c r="E5" s="248" t="n">
        <v>0.021944568572173937</v>
      </c>
      <c r="F5" s="248" t="n">
        <v>0</v>
      </c>
      <c r="G5" s="309" t="s">
        <v>557</v>
      </c>
    </row>
    <row r="6" spans="1:7">
      <c r="A6" s="309" t="s">
        <v>558</v>
      </c>
      <c r="B6" s="247" t="s">
        <v>559</v>
      </c>
      <c r="C6" s="258" t="n">
        <v>0.056426460360395847</v>
      </c>
      <c r="D6" s="310" t="n">
        <v>0.114241643739460197</v>
      </c>
      <c r="E6" s="248" t="n">
        <v>0.0634416437394602006</v>
      </c>
      <c r="F6" s="248" t="n">
        <v>0.3</v>
      </c>
      <c r="G6" s="309" t="s">
        <v>554</v>
      </c>
    </row>
    <row r="7" spans="1:7">
      <c r="A7" s="313" t="s">
        <v>560</v>
      </c>
      <c r="B7" s="314" t="s">
        <v>457</v>
      </c>
      <c r="C7" s="315" t="n">
        <v>0.0561359505272803538</v>
      </c>
      <c r="D7" s="315" t="n">
        <v>0.113915016458259011</v>
      </c>
      <c r="E7" s="315" t="n">
        <v>0.0631150164582590101</v>
      </c>
      <c r="F7" s="315" t="n">
        <v>0.240248434850359738</v>
      </c>
      <c r="G7" s="316" t="s">
        <v>561</v>
      </c>
    </row>
    <row r="8" spans="1:7">
      <c r="A8" s="313" t="s">
        <v>562</v>
      </c>
      <c r="B8" s="314" t="s">
        <v>457</v>
      </c>
      <c r="C8" s="315" t="n">
        <v>0.0560999999999999943</v>
      </c>
      <c r="D8" s="317" t="n">
        <v>0.113900000000000001</v>
      </c>
      <c r="E8" s="317" t="n">
        <v>0.063100000000000005</v>
      </c>
      <c r="F8" s="317" t="n">
        <v>0.240200000000000014</v>
      </c>
      <c r="G8" s="316" t="s">
        <v>561</v>
      </c>
    </row>
    <row r="9" spans="1:7">
      <c r="A9" s="309" t="s">
        <v>563</v>
      </c>
      <c r="B9" s="247" t="s">
        <v>559</v>
      </c>
      <c r="C9" s="258" t="n">
        <v>0.056426460360395847</v>
      </c>
      <c r="D9" s="310" t="n">
        <v>0.114241643739460197</v>
      </c>
      <c r="E9" s="248" t="n">
        <v>0.0634416437394602006</v>
      </c>
      <c r="F9" s="248" t="n">
        <v>0.35</v>
      </c>
      <c r="G9" s="309" t="s">
        <v>564</v>
      </c>
    </row>
    <row r="10" spans="1:7">
      <c r="A10" s="309" t="s">
        <v>565</v>
      </c>
      <c r="B10" s="247" t="s">
        <v>551</v>
      </c>
      <c r="C10" s="258" t="n">
        <v>0.0461586946226844841</v>
      </c>
      <c r="D10" s="310" t="n">
        <v>0.102697344632771559</v>
      </c>
      <c r="E10" s="248" t="n">
        <v>0.0518973446327715227</v>
      </c>
      <c r="F10" s="248" t="n">
        <v>0.2</v>
      </c>
      <c r="G10" s="309" t="s">
        <v>552</v>
      </c>
    </row>
    <row r="11" spans="1:7">
      <c r="A11" s="309" t="s">
        <v>566</v>
      </c>
      <c r="B11" s="247" t="s">
        <v>567</v>
      </c>
      <c r="C11" s="258" t="n">
        <v>0.0163729237439181396</v>
      </c>
      <c r="D11" s="310" t="n">
        <v>0.0692084769539089617</v>
      </c>
      <c r="E11" s="248" t="n">
        <v>0.018408476953908945</v>
      </c>
      <c r="F11" s="248" t="n">
        <v>0</v>
      </c>
      <c r="G11" s="309" t="s">
        <v>561</v>
      </c>
    </row>
    <row r="12" spans="1:7">
      <c r="A12" s="309" t="s">
        <v>568</v>
      </c>
      <c r="B12" s="247" t="s">
        <v>569</v>
      </c>
      <c r="C12" s="258" t="n">
        <v>0</v>
      </c>
      <c r="D12" s="310" t="n">
        <v>0.0508000000000000007</v>
      </c>
      <c r="E12" s="248" t="n">
        <v>0</v>
      </c>
      <c r="F12" s="248" t="n">
        <v>0.3</v>
      </c>
      <c r="G12" s="309" t="s">
        <v>570</v>
      </c>
    </row>
    <row r="13" spans="1:7">
      <c r="A13" s="309" t="s">
        <v>571</v>
      </c>
      <c r="B13" s="247" t="s">
        <v>572</v>
      </c>
      <c r="C13" s="258" t="n">
        <v>0.00407010533747117442</v>
      </c>
      <c r="D13" s="310" t="n">
        <v>0.0553761185648135168</v>
      </c>
      <c r="E13" s="248" t="n">
        <v>0.0045761185648135223</v>
      </c>
      <c r="F13" s="248" t="n">
        <v>0.25</v>
      </c>
      <c r="G13" s="309" t="s">
        <v>557</v>
      </c>
    </row>
    <row r="14" spans="1:7">
      <c r="A14" s="309" t="s">
        <v>573</v>
      </c>
      <c r="B14" s="247" t="s">
        <v>574</v>
      </c>
      <c r="C14" s="258" t="n">
        <v>0.0308032972131341243</v>
      </c>
      <c r="D14" s="310" t="n">
        <v>0.0854328973200659902</v>
      </c>
      <c r="E14" s="248" t="n">
        <v>0.0346328973200659762</v>
      </c>
      <c r="F14" s="248" t="n">
        <v>0.2</v>
      </c>
      <c r="G14" s="309" t="s">
        <v>552</v>
      </c>
    </row>
    <row r="15" spans="1:7">
      <c r="A15" s="309" t="s">
        <v>575</v>
      </c>
      <c r="B15" s="247" t="s">
        <v>576</v>
      </c>
      <c r="C15" s="258" t="n">
        <v>0.0225705841441583299</v>
      </c>
      <c r="D15" s="310" t="n">
        <v>0.0761766574957840614</v>
      </c>
      <c r="E15" s="248" t="n">
        <v>0.0253766574957840829</v>
      </c>
      <c r="F15" s="248" t="n">
        <v>0</v>
      </c>
      <c r="G15" s="309" t="s">
        <v>561</v>
      </c>
    </row>
    <row r="16" spans="1:7">
      <c r="A16" s="309" t="s">
        <v>577</v>
      </c>
      <c r="B16" s="247" t="s">
        <v>551</v>
      </c>
      <c r="C16" s="258" t="n">
        <v>0.0461586946226844841</v>
      </c>
      <c r="D16" s="310" t="n">
        <v>0.102697344632771559</v>
      </c>
      <c r="E16" s="248" t="n">
        <v>0.0518973446327715227</v>
      </c>
      <c r="F16" s="248" t="n">
        <v>0</v>
      </c>
      <c r="G16" s="309" t="s">
        <v>549</v>
      </c>
    </row>
    <row r="17" spans="1:7">
      <c r="A17" s="309" t="s">
        <v>578</v>
      </c>
      <c r="B17" s="247" t="s">
        <v>579</v>
      </c>
      <c r="C17" s="258" t="n">
        <v>0.0369084552193408788</v>
      </c>
      <c r="D17" s="310" t="n">
        <v>0.0922970751672862733</v>
      </c>
      <c r="E17" s="248" t="n">
        <v>0.0414970751672862637</v>
      </c>
      <c r="F17" s="248" t="n">
        <v>0.25</v>
      </c>
      <c r="G17" s="309" t="s">
        <v>580</v>
      </c>
    </row>
    <row r="18" spans="1:7">
      <c r="A18" s="309" t="s">
        <v>581</v>
      </c>
      <c r="B18" s="247" t="s">
        <v>582</v>
      </c>
      <c r="C18" s="258" t="n">
        <v>0.102492652589046873</v>
      </c>
      <c r="D18" s="310" t="n">
        <v>0.166034985677576907</v>
      </c>
      <c r="E18" s="248" t="n">
        <v>0.115234985677576907</v>
      </c>
      <c r="F18" s="248" t="n">
        <v>0.25</v>
      </c>
      <c r="G18" s="309" t="s">
        <v>561</v>
      </c>
    </row>
    <row r="19" spans="1:7">
      <c r="A19" s="309" t="s">
        <v>583</v>
      </c>
      <c r="B19" s="247" t="s">
        <v>584</v>
      </c>
      <c r="C19" s="258" t="n">
        <v>0.0768694894417851682</v>
      </c>
      <c r="D19" s="310" t="n">
        <v>0.13722623925818267</v>
      </c>
      <c r="E19" s="248" t="n">
        <v>0.0864262392581826511</v>
      </c>
      <c r="F19" s="248" t="n">
        <v>0.179999999999999964</v>
      </c>
      <c r="G19" s="309" t="s">
        <v>552</v>
      </c>
    </row>
    <row r="20" spans="1:7">
      <c r="A20" s="309" t="s">
        <v>585</v>
      </c>
      <c r="B20" s="247" t="s">
        <v>586</v>
      </c>
      <c r="C20" s="258" t="n">
        <v>0.00619766040024019915</v>
      </c>
      <c r="D20" s="310" t="n">
        <v>0.057768180541875136</v>
      </c>
      <c r="E20" s="248" t="n">
        <v>0.00696818054187513525</v>
      </c>
      <c r="F20" s="248" t="n">
        <v>0.339900000000000002</v>
      </c>
      <c r="G20" s="309" t="s">
        <v>557</v>
      </c>
    </row>
    <row r="21" spans="1:7">
      <c r="A21" s="309" t="s">
        <v>587</v>
      </c>
      <c r="B21" s="247" t="s">
        <v>588</v>
      </c>
      <c r="C21" s="258" t="n">
        <v>0.0666942260981072099</v>
      </c>
      <c r="D21" s="310" t="n">
        <v>0.125785942846148835</v>
      </c>
      <c r="E21" s="248" t="n">
        <v>0.0749859428461488431</v>
      </c>
      <c r="F21" s="248" t="n">
        <v>0.282100000000000009</v>
      </c>
      <c r="G21" s="309" t="s">
        <v>564</v>
      </c>
    </row>
    <row r="22" spans="1:7">
      <c r="A22" s="313" t="s">
        <v>589</v>
      </c>
      <c r="B22" s="314" t="s">
        <v>457</v>
      </c>
      <c r="C22" s="315" t="n">
        <v>0.048597450282648964</v>
      </c>
      <c r="D22" s="315" t="n">
        <v>0.104724928047050891</v>
      </c>
      <c r="E22" s="315" t="n">
        <v>0.0546392970210459961</v>
      </c>
      <c r="F22" s="315" t="n">
        <v>0.276136660301219905</v>
      </c>
      <c r="G22" s="316" t="s">
        <v>554</v>
      </c>
    </row>
    <row r="23" spans="1:7">
      <c r="A23" s="309" t="s">
        <v>590</v>
      </c>
      <c r="B23" s="247" t="s">
        <v>591</v>
      </c>
      <c r="C23" s="258" t="n">
        <v>0.00869522503914296685</v>
      </c>
      <c r="D23" s="310" t="n">
        <v>0.0605762532975561641</v>
      </c>
      <c r="E23" s="248" t="n">
        <v>0.00977625329755615979</v>
      </c>
      <c r="F23" s="248" t="n">
        <v>0</v>
      </c>
      <c r="G23" s="309" t="s">
        <v>561</v>
      </c>
    </row>
    <row r="24" spans="1:7">
      <c r="A24" s="309" t="s">
        <v>592</v>
      </c>
      <c r="B24" s="247" t="s">
        <v>579</v>
      </c>
      <c r="C24" s="258" t="n">
        <v>0.0369084552193408788</v>
      </c>
      <c r="D24" s="310" t="n">
        <v>0.0922970751672862733</v>
      </c>
      <c r="E24" s="248" t="n">
        <v>0.0414970751672862637</v>
      </c>
      <c r="F24" s="248" t="n">
        <v>0.25</v>
      </c>
      <c r="G24" s="309" t="s">
        <v>564</v>
      </c>
    </row>
    <row r="25" spans="1:7">
      <c r="A25" s="309" t="s">
        <v>593</v>
      </c>
      <c r="B25" s="247" t="s">
        <v>588</v>
      </c>
      <c r="C25" s="258" t="n">
        <v>0.0666942260981072099</v>
      </c>
      <c r="D25" s="310" t="n">
        <v>0.125785942846148835</v>
      </c>
      <c r="E25" s="248" t="n">
        <v>0.0749859428461488431</v>
      </c>
      <c r="F25" s="248" t="n">
        <v>0.1</v>
      </c>
      <c r="G25" s="309" t="s">
        <v>552</v>
      </c>
    </row>
    <row r="26" spans="1:7">
      <c r="A26" s="309" t="s">
        <v>594</v>
      </c>
      <c r="B26" s="247" t="s">
        <v>591</v>
      </c>
      <c r="C26" s="258" t="n">
        <v>0.00869522503914296685</v>
      </c>
      <c r="D26" s="310" t="n">
        <v>0.0605762532975561641</v>
      </c>
      <c r="E26" s="248" t="n">
        <v>0.00977625329755615979</v>
      </c>
      <c r="F26" s="248" t="n">
        <v>0.220000000000000018</v>
      </c>
      <c r="G26" s="309" t="s">
        <v>554</v>
      </c>
    </row>
    <row r="27" spans="1:7">
      <c r="A27" s="309" t="s">
        <v>595</v>
      </c>
      <c r="B27" s="247" t="s">
        <v>574</v>
      </c>
      <c r="C27" s="258" t="n">
        <v>0.0308032972131341243</v>
      </c>
      <c r="D27" s="310" t="n">
        <v>0.0854328973200659902</v>
      </c>
      <c r="E27" s="248" t="n">
        <v>0.0346328973200659762</v>
      </c>
      <c r="F27" s="248" t="n">
        <v>0.34000000000000008</v>
      </c>
      <c r="G27" s="309" t="s">
        <v>564</v>
      </c>
    </row>
    <row r="28" spans="1:7">
      <c r="A28" s="318" t="s">
        <v>596</v>
      </c>
      <c r="B28" s="314" t="s">
        <v>457</v>
      </c>
      <c r="C28" s="315" t="n">
        <v>0.0560999999999999943</v>
      </c>
      <c r="D28" s="317" t="n">
        <v>0.113900000000000001</v>
      </c>
      <c r="E28" s="317" t="n">
        <v>0.063100000000000005</v>
      </c>
      <c r="F28" s="317" t="n">
        <v>0.240200000000000014</v>
      </c>
      <c r="G28" s="316" t="s">
        <v>561</v>
      </c>
    </row>
    <row r="29" spans="1:7">
      <c r="A29" s="309" t="s">
        <v>597</v>
      </c>
      <c r="B29" s="247" t="s">
        <v>457</v>
      </c>
      <c r="C29" s="258" t="n">
        <v>0.00869999999999999751</v>
      </c>
      <c r="D29" s="311" t="n">
        <v>0.0605816219023494895</v>
      </c>
      <c r="E29" s="248" t="n">
        <v>0.00978162190234949591</v>
      </c>
      <c r="F29" s="312" t="n">
        <v>0.185</v>
      </c>
      <c r="G29" s="309" t="s">
        <v>549</v>
      </c>
    </row>
    <row r="30" spans="1:7">
      <c r="A30" s="309" t="s">
        <v>598</v>
      </c>
      <c r="B30" s="247" t="s">
        <v>556</v>
      </c>
      <c r="C30" s="258" t="n">
        <v>0.019518005141054962</v>
      </c>
      <c r="D30" s="310" t="n">
        <v>0.0727445685721739377</v>
      </c>
      <c r="E30" s="248" t="n">
        <v>0.021944568572173937</v>
      </c>
      <c r="F30" s="248" t="n">
        <v>0.1</v>
      </c>
      <c r="G30" s="309" t="s">
        <v>552</v>
      </c>
    </row>
    <row r="31" spans="1:7">
      <c r="A31" s="309" t="s">
        <v>599</v>
      </c>
      <c r="B31" s="247" t="s">
        <v>559</v>
      </c>
      <c r="C31" s="258" t="n">
        <v>0.056426460360395847</v>
      </c>
      <c r="D31" s="310" t="n">
        <v>0.114241643739460197</v>
      </c>
      <c r="E31" s="248" t="n">
        <v>0.0634416437394602006</v>
      </c>
      <c r="F31" s="248" t="n">
        <v>0.275</v>
      </c>
      <c r="G31" s="309" t="s">
        <v>554</v>
      </c>
    </row>
    <row r="32" spans="1:7">
      <c r="A32" s="309" t="s">
        <v>600</v>
      </c>
      <c r="B32" s="247" t="s">
        <v>559</v>
      </c>
      <c r="C32" s="258" t="n">
        <v>0.056426460360395847</v>
      </c>
      <c r="D32" s="310" t="n">
        <v>0.114241643739460197</v>
      </c>
      <c r="E32" s="248" t="n">
        <v>0.0634416437394602006</v>
      </c>
      <c r="F32" s="248" t="n">
        <v>0.2</v>
      </c>
      <c r="G32" s="309" t="s">
        <v>580</v>
      </c>
    </row>
    <row r="33" spans="1:7">
      <c r="A33" s="309" t="s">
        <v>601</v>
      </c>
      <c r="B33" s="247" t="s">
        <v>559</v>
      </c>
      <c r="C33" s="258" t="n">
        <v>0.056426460360395847</v>
      </c>
      <c r="D33" s="310" t="n">
        <v>0.114241643739460197</v>
      </c>
      <c r="E33" s="248" t="n">
        <v>0.0634416437394602006</v>
      </c>
      <c r="F33" s="248" t="n">
        <v>0.330000000000000027</v>
      </c>
      <c r="G33" s="309" t="s">
        <v>554</v>
      </c>
    </row>
    <row r="34" spans="1:7">
      <c r="A34" s="309" t="s">
        <v>602</v>
      </c>
      <c r="B34" s="247" t="s">
        <v>569</v>
      </c>
      <c r="C34" s="258" t="n">
        <v>0</v>
      </c>
      <c r="D34" s="310" t="n">
        <v>0.0508000000000000007</v>
      </c>
      <c r="E34" s="248" t="n">
        <v>0</v>
      </c>
      <c r="F34" s="248" t="n">
        <v>0.265000000000000036</v>
      </c>
      <c r="G34" s="309" t="s">
        <v>603</v>
      </c>
    </row>
    <row r="35" spans="1:7">
      <c r="A35" s="309" t="s">
        <v>604</v>
      </c>
      <c r="B35" s="247" t="s">
        <v>559</v>
      </c>
      <c r="C35" s="258" t="n">
        <v>0.056426460360395847</v>
      </c>
      <c r="D35" s="310" t="n">
        <v>0.114241643739460197</v>
      </c>
      <c r="E35" s="248" t="n">
        <v>0.0634416437394602006</v>
      </c>
      <c r="F35" s="248" t="n">
        <v>0.282100000000000009</v>
      </c>
      <c r="G35" s="309" t="s">
        <v>554</v>
      </c>
    </row>
    <row r="36" spans="1:7">
      <c r="A36" s="309" t="s">
        <v>605</v>
      </c>
      <c r="B36" s="247" t="s">
        <v>586</v>
      </c>
      <c r="C36" s="258" t="n">
        <v>0.00619766040024019915</v>
      </c>
      <c r="D36" s="310" t="n">
        <v>0.057768180541875136</v>
      </c>
      <c r="E36" s="248" t="n">
        <v>0.00696818054187513525</v>
      </c>
      <c r="F36" s="248" t="n">
        <v>0</v>
      </c>
      <c r="G36" s="309" t="s">
        <v>561</v>
      </c>
    </row>
    <row r="37" spans="1:7">
      <c r="A37" s="313" t="s">
        <v>606</v>
      </c>
      <c r="B37" s="319" t="s">
        <v>457</v>
      </c>
      <c r="C37" s="246" t="n">
        <v>0.00823439425764014388</v>
      </c>
      <c r="D37" s="246" t="n">
        <v>0.0600581300256452533</v>
      </c>
      <c r="E37" s="246" t="n">
        <v>0.00925813002564525966</v>
      </c>
      <c r="F37" s="246" t="n">
        <v>0.255133324258719973</v>
      </c>
      <c r="G37" s="320" t="s">
        <v>557</v>
      </c>
    </row>
    <row r="38" spans="1:7">
      <c r="A38" s="309" t="s">
        <v>607</v>
      </c>
      <c r="B38" s="247" t="s">
        <v>586</v>
      </c>
      <c r="C38" s="258" t="n">
        <v>0.00619766040024019915</v>
      </c>
      <c r="D38" s="310" t="n">
        <v>0.057768180541875136</v>
      </c>
      <c r="E38" s="248" t="n">
        <v>0.00696818054187513525</v>
      </c>
      <c r="F38" s="248" t="n">
        <v>0.254999999999999982</v>
      </c>
      <c r="G38" s="309" t="s">
        <v>564</v>
      </c>
    </row>
    <row r="39" spans="1:7">
      <c r="A39" s="309" t="s">
        <v>608</v>
      </c>
      <c r="B39" s="247" t="s">
        <v>609</v>
      </c>
      <c r="C39" s="258" t="n">
        <v>0.0072151867346079932</v>
      </c>
      <c r="D39" s="310" t="n">
        <v>0.0589122101830785194</v>
      </c>
      <c r="E39" s="248" t="n">
        <v>0.00811221018307851693</v>
      </c>
      <c r="F39" s="248" t="n">
        <v>0.25</v>
      </c>
      <c r="G39" s="309" t="s">
        <v>580</v>
      </c>
    </row>
    <row r="40" spans="1:7">
      <c r="A40" s="309" t="s">
        <v>610</v>
      </c>
      <c r="B40" s="247" t="s">
        <v>556</v>
      </c>
      <c r="C40" s="258" t="n">
        <v>0.019518005141054962</v>
      </c>
      <c r="D40" s="310" t="n">
        <v>0.0727445685721739377</v>
      </c>
      <c r="E40" s="248" t="n">
        <v>0.021944568572173937</v>
      </c>
      <c r="F40" s="248" t="n">
        <v>0.34000000000000008</v>
      </c>
      <c r="G40" s="309" t="s">
        <v>564</v>
      </c>
    </row>
    <row r="41" spans="1:7">
      <c r="A41" s="309" t="s">
        <v>611</v>
      </c>
      <c r="B41" s="247" t="s">
        <v>588</v>
      </c>
      <c r="C41" s="258" t="n">
        <v>0.0666942260981072099</v>
      </c>
      <c r="D41" s="310" t="n">
        <v>0.125785942846148835</v>
      </c>
      <c r="E41" s="248" t="n">
        <v>0.0749859428461488431</v>
      </c>
      <c r="F41" s="248" t="n">
        <v>0.35</v>
      </c>
      <c r="G41" s="309" t="s">
        <v>554</v>
      </c>
    </row>
    <row r="42" spans="1:7">
      <c r="A42" s="309" t="s">
        <v>612</v>
      </c>
      <c r="B42" s="247" t="s">
        <v>613</v>
      </c>
      <c r="C42" s="258" t="n">
        <v>0.0923173892453689682</v>
      </c>
      <c r="D42" s="310" t="n">
        <v>0.154594689265543073</v>
      </c>
      <c r="E42" s="248" t="n">
        <v>0.103794689265543072</v>
      </c>
      <c r="F42" s="248" t="n">
        <v>0.282100000000000009</v>
      </c>
      <c r="G42" s="309" t="s">
        <v>554</v>
      </c>
    </row>
    <row r="43" spans="1:7">
      <c r="A43" s="309" t="s">
        <v>614</v>
      </c>
      <c r="B43" s="247" t="s">
        <v>551</v>
      </c>
      <c r="C43" s="258" t="n">
        <v>0.0461586946226844841</v>
      </c>
      <c r="D43" s="310" t="n">
        <v>0.102697344632771559</v>
      </c>
      <c r="E43" s="248" t="n">
        <v>0.0518973446327715227</v>
      </c>
      <c r="F43" s="248" t="n">
        <v>0</v>
      </c>
      <c r="G43" s="309" t="s">
        <v>570</v>
      </c>
    </row>
    <row r="44" spans="1:7">
      <c r="A44" s="309" t="s">
        <v>615</v>
      </c>
      <c r="B44" s="247" t="s">
        <v>574</v>
      </c>
      <c r="C44" s="258" t="n">
        <v>0.0308032972131341243</v>
      </c>
      <c r="D44" s="310" t="n">
        <v>0.0854328973200659902</v>
      </c>
      <c r="E44" s="248" t="n">
        <v>0.0346328973200659762</v>
      </c>
      <c r="F44" s="248" t="n">
        <v>0.3</v>
      </c>
      <c r="G44" s="309" t="s">
        <v>564</v>
      </c>
    </row>
    <row r="45" spans="1:7">
      <c r="A45" s="321" t="s">
        <v>616</v>
      </c>
      <c r="B45" s="247" t="s">
        <v>574</v>
      </c>
      <c r="C45" s="258" t="n">
        <v>0.0308032972131341243</v>
      </c>
      <c r="D45" s="310" t="n">
        <v>0.0854328973200659902</v>
      </c>
      <c r="E45" s="248" t="n">
        <v>0.0346328973200659762</v>
      </c>
      <c r="F45" s="248" t="n">
        <v>0.2</v>
      </c>
      <c r="G45" s="309" t="s">
        <v>552</v>
      </c>
    </row>
    <row r="46" spans="1:7">
      <c r="A46" s="309" t="s">
        <v>617</v>
      </c>
      <c r="B46" s="247" t="s">
        <v>613</v>
      </c>
      <c r="C46" s="258" t="n">
        <v>0.0923173892453689682</v>
      </c>
      <c r="D46" s="310" t="n">
        <v>0.154594689265543073</v>
      </c>
      <c r="E46" s="248" t="n">
        <v>0.103794689265543072</v>
      </c>
      <c r="F46" s="248" t="n">
        <v>0.279800000000000004</v>
      </c>
      <c r="G46" s="309" t="s">
        <v>561</v>
      </c>
    </row>
    <row r="47" spans="1:7">
      <c r="A47" s="322" t="s">
        <v>618</v>
      </c>
      <c r="B47" s="247" t="s">
        <v>619</v>
      </c>
      <c r="C47" s="258" t="n">
        <v>0.0123028184064469626</v>
      </c>
      <c r="D47" s="310" t="n">
        <v>0.0646323583890954101</v>
      </c>
      <c r="E47" s="248" t="n">
        <v>0.0138323583890954227</v>
      </c>
      <c r="F47" s="248" t="n">
        <v>0.220000000000000018</v>
      </c>
      <c r="G47" s="309" t="s">
        <v>561</v>
      </c>
    </row>
    <row r="48" spans="1:7">
      <c r="A48" s="321" t="s">
        <v>620</v>
      </c>
      <c r="B48" s="247" t="s">
        <v>579</v>
      </c>
      <c r="C48" s="258" t="n">
        <v>0.0369084552193408788</v>
      </c>
      <c r="D48" s="310" t="n">
        <v>0.0922970751672862733</v>
      </c>
      <c r="E48" s="248" t="n">
        <v>0.0414970751672862637</v>
      </c>
      <c r="F48" s="248" t="n">
        <v>0.125</v>
      </c>
      <c r="G48" s="309" t="s">
        <v>557</v>
      </c>
    </row>
    <row r="49" spans="1:7">
      <c r="A49" s="309" t="s">
        <v>621</v>
      </c>
      <c r="B49" s="247" t="s">
        <v>609</v>
      </c>
      <c r="C49" s="258" t="n">
        <v>0.0072151867346079932</v>
      </c>
      <c r="D49" s="310" t="n">
        <v>0.0589122101830785194</v>
      </c>
      <c r="E49" s="248" t="n">
        <v>0.00811221018307851693</v>
      </c>
      <c r="F49" s="248" t="n">
        <v>0.19</v>
      </c>
      <c r="G49" s="309" t="s">
        <v>552</v>
      </c>
    </row>
    <row r="50" spans="1:7">
      <c r="A50" s="309" t="s">
        <v>622</v>
      </c>
      <c r="B50" s="247" t="s">
        <v>569</v>
      </c>
      <c r="C50" s="258" t="n">
        <v>0</v>
      </c>
      <c r="D50" s="310" t="n">
        <v>0.0508000000000000007</v>
      </c>
      <c r="E50" s="248" t="n">
        <v>0</v>
      </c>
      <c r="F50" s="248" t="n">
        <v>0.220000000000000018</v>
      </c>
      <c r="G50" s="309" t="s">
        <v>557</v>
      </c>
    </row>
    <row r="51" spans="1:7">
      <c r="A51" s="309" t="s">
        <v>623</v>
      </c>
      <c r="B51" s="247" t="s">
        <v>579</v>
      </c>
      <c r="C51" s="258" t="n">
        <v>0.0369084552193408788</v>
      </c>
      <c r="D51" s="310" t="n">
        <v>0.0922970751672862733</v>
      </c>
      <c r="E51" s="248" t="n">
        <v>0.0414970751672862637</v>
      </c>
      <c r="F51" s="248" t="n">
        <v>0.270000000000000018</v>
      </c>
      <c r="G51" s="309" t="s">
        <v>561</v>
      </c>
    </row>
    <row r="52" spans="1:7">
      <c r="A52" s="309" t="s">
        <v>624</v>
      </c>
      <c r="B52" s="247" t="s">
        <v>588</v>
      </c>
      <c r="C52" s="258" t="n">
        <v>0.0666942260981072099</v>
      </c>
      <c r="D52" s="310" t="n">
        <v>0.125785942846148835</v>
      </c>
      <c r="E52" s="248" t="n">
        <v>0.0749859428461488431</v>
      </c>
      <c r="F52" s="248" t="n">
        <v>0.220000000000000018</v>
      </c>
      <c r="G52" s="309" t="s">
        <v>564</v>
      </c>
    </row>
    <row r="53" spans="1:7">
      <c r="A53" s="309" t="s">
        <v>625</v>
      </c>
      <c r="B53" s="247" t="s">
        <v>588</v>
      </c>
      <c r="C53" s="258" t="n">
        <v>0.0666942260981072099</v>
      </c>
      <c r="D53" s="310" t="n">
        <v>0.125785942846148835</v>
      </c>
      <c r="E53" s="248" t="n">
        <v>0.0749859428461488431</v>
      </c>
      <c r="F53" s="248" t="n">
        <v>0.225</v>
      </c>
      <c r="G53" s="309" t="s">
        <v>554</v>
      </c>
    </row>
    <row r="54" spans="1:7">
      <c r="A54" s="309" t="s">
        <v>626</v>
      </c>
      <c r="B54" s="247" t="s">
        <v>584</v>
      </c>
      <c r="C54" s="258" t="n">
        <v>0.0768694894417851682</v>
      </c>
      <c r="D54" s="310" t="n">
        <v>0.13722623925818267</v>
      </c>
      <c r="E54" s="248" t="n">
        <v>0.0864262392581826511</v>
      </c>
      <c r="F54" s="248" t="n">
        <v>0.3</v>
      </c>
      <c r="G54" s="309" t="s">
        <v>564</v>
      </c>
    </row>
    <row r="55" spans="1:7">
      <c r="A55" s="309" t="s">
        <v>627</v>
      </c>
      <c r="B55" s="247" t="s">
        <v>609</v>
      </c>
      <c r="C55" s="258" t="n">
        <v>0.0072151867346079932</v>
      </c>
      <c r="D55" s="310" t="n">
        <v>0.0589122101830785194</v>
      </c>
      <c r="E55" s="248" t="n">
        <v>0.00811221018307851693</v>
      </c>
      <c r="F55" s="248" t="n">
        <v>0.2</v>
      </c>
      <c r="G55" s="309" t="s">
        <v>552</v>
      </c>
    </row>
    <row r="56" spans="1:7">
      <c r="A56" s="309" t="s">
        <v>628</v>
      </c>
      <c r="B56" s="247" t="s">
        <v>551</v>
      </c>
      <c r="C56" s="258" t="n">
        <v>0.0461586946226844841</v>
      </c>
      <c r="D56" s="310" t="n">
        <v>0.102697344632771559</v>
      </c>
      <c r="E56" s="248" t="n">
        <v>0.0518973446327715227</v>
      </c>
      <c r="F56" s="248" t="n">
        <v>0.3</v>
      </c>
      <c r="G56" s="309" t="s">
        <v>554</v>
      </c>
    </row>
    <row r="57" spans="1:7">
      <c r="A57" s="323" t="s">
        <v>629</v>
      </c>
      <c r="B57" s="314" t="s">
        <v>457</v>
      </c>
      <c r="C57" s="315" t="n">
        <v>0.0315830085508629921</v>
      </c>
      <c r="D57" s="315" t="n">
        <v>0.0863095457681853695</v>
      </c>
      <c r="E57" s="324" t="n">
        <v>0.0355095457681854043</v>
      </c>
      <c r="F57" s="324" t="n">
        <v>0.317332285173145534</v>
      </c>
      <c r="G57" s="316" t="s">
        <v>564</v>
      </c>
    </row>
    <row r="58" spans="1:7">
      <c r="A58" s="321" t="s">
        <v>630</v>
      </c>
      <c r="B58" s="247" t="s">
        <v>579</v>
      </c>
      <c r="C58" s="258" t="n">
        <v>0.0369084552193408788</v>
      </c>
      <c r="D58" s="310" t="n">
        <v>0.0922970751672862733</v>
      </c>
      <c r="E58" s="246" t="n">
        <v>0.0414970751672862637</v>
      </c>
      <c r="F58" s="246" t="n">
        <v>0.2</v>
      </c>
      <c r="G58" s="309" t="s">
        <v>580</v>
      </c>
    </row>
    <row r="59" spans="1:7">
      <c r="A59" s="309" t="s">
        <v>631</v>
      </c>
      <c r="B59" s="247" t="s">
        <v>572</v>
      </c>
      <c r="C59" s="258" t="n">
        <v>0.00407010533747117442</v>
      </c>
      <c r="D59" s="310" t="n">
        <v>0.0553761185648135168</v>
      </c>
      <c r="E59" s="248" t="n">
        <v>0.0045761185648135223</v>
      </c>
      <c r="F59" s="248" t="n">
        <v>0.2</v>
      </c>
      <c r="G59" s="309" t="s">
        <v>557</v>
      </c>
    </row>
    <row r="60" spans="1:7">
      <c r="A60" s="309" t="s">
        <v>632</v>
      </c>
      <c r="B60" s="247" t="s">
        <v>548</v>
      </c>
      <c r="C60" s="258" t="n">
        <v>0.00508763167183896847</v>
      </c>
      <c r="D60" s="310" t="n">
        <v>0.0565201482060168914</v>
      </c>
      <c r="E60" s="248" t="n">
        <v>0.00572014820601690399</v>
      </c>
      <c r="F60" s="248" t="n">
        <v>0.333299999999999974</v>
      </c>
      <c r="G60" s="309" t="s">
        <v>557</v>
      </c>
    </row>
    <row r="61" spans="1:7">
      <c r="A61" s="309" t="s">
        <v>633</v>
      </c>
      <c r="B61" s="247" t="s">
        <v>588</v>
      </c>
      <c r="C61" s="258" t="n">
        <v>0.0666942260981072099</v>
      </c>
      <c r="D61" s="310" t="n">
        <v>0.125785942846148835</v>
      </c>
      <c r="E61" s="248" t="n">
        <v>0.0749859428461488431</v>
      </c>
      <c r="F61" s="248" t="n">
        <v>0.3</v>
      </c>
      <c r="G61" s="309" t="s">
        <v>554</v>
      </c>
    </row>
    <row r="62" spans="1:7">
      <c r="A62" s="309" t="s">
        <v>634</v>
      </c>
      <c r="B62" s="247" t="s">
        <v>457</v>
      </c>
      <c r="C62" s="258" t="n">
        <v>0.0922999999999999865</v>
      </c>
      <c r="D62" s="311" t="n">
        <v>0.154575138113432047</v>
      </c>
      <c r="E62" s="248" t="n">
        <v>0.103775138113432019</v>
      </c>
      <c r="F62" s="312" t="n">
        <v>0.310000000000000009</v>
      </c>
      <c r="G62" s="309" t="s">
        <v>554</v>
      </c>
    </row>
    <row r="63" spans="1:7">
      <c r="A63" s="309" t="s">
        <v>635</v>
      </c>
      <c r="B63" s="247" t="s">
        <v>574</v>
      </c>
      <c r="C63" s="258" t="n">
        <v>0.0308032972131341243</v>
      </c>
      <c r="D63" s="310" t="n">
        <v>0.0854328973200659902</v>
      </c>
      <c r="E63" s="248" t="n">
        <v>0.0346328973200659762</v>
      </c>
      <c r="F63" s="248" t="n">
        <v>0.15</v>
      </c>
      <c r="G63" s="309" t="s">
        <v>552</v>
      </c>
    </row>
    <row r="64" spans="1:7">
      <c r="A64" s="309" t="s">
        <v>333</v>
      </c>
      <c r="B64" s="247" t="s">
        <v>569</v>
      </c>
      <c r="C64" s="258" t="n">
        <v>0</v>
      </c>
      <c r="D64" s="310" t="n">
        <v>0.0508000000000000007</v>
      </c>
      <c r="E64" s="248" t="n">
        <v>0</v>
      </c>
      <c r="F64" s="248" t="n">
        <v>0.297900000000000009</v>
      </c>
      <c r="G64" s="309" t="s">
        <v>557</v>
      </c>
    </row>
    <row r="65" spans="1:7">
      <c r="A65" s="309" t="s">
        <v>636</v>
      </c>
      <c r="B65" s="247" t="s">
        <v>588</v>
      </c>
      <c r="C65" s="258" t="n">
        <v>0.0666942260981072099</v>
      </c>
      <c r="D65" s="310" t="n">
        <v>0.125785942846148835</v>
      </c>
      <c r="E65" s="248" t="n">
        <v>0.0749859428461488431</v>
      </c>
      <c r="F65" s="248" t="n">
        <v>0.25</v>
      </c>
      <c r="G65" s="309" t="s">
        <v>554</v>
      </c>
    </row>
    <row r="66" spans="1:7">
      <c r="A66" s="323" t="s">
        <v>637</v>
      </c>
      <c r="B66" s="314" t="s">
        <v>457</v>
      </c>
      <c r="C66" s="315" t="n">
        <v>0.00820000000000000107</v>
      </c>
      <c r="D66" s="315" t="n">
        <v>0.0600999999999999979</v>
      </c>
      <c r="E66" s="324" t="n">
        <v>0.00929999999999999893</v>
      </c>
      <c r="F66" s="324" t="n">
        <v>0.255100000000000016</v>
      </c>
      <c r="G66" s="316" t="s">
        <v>557</v>
      </c>
    </row>
    <row r="67" spans="1:7">
      <c r="A67" s="321" t="s">
        <v>638</v>
      </c>
      <c r="B67" s="247" t="s">
        <v>613</v>
      </c>
      <c r="C67" s="258" t="n">
        <v>0.0923173892453689682</v>
      </c>
      <c r="D67" s="325" t="n">
        <v>0.154594689265543073</v>
      </c>
      <c r="E67" s="249" t="n">
        <v>0.103794689265543072</v>
      </c>
      <c r="F67" s="249" t="n">
        <v>0.29</v>
      </c>
      <c r="G67" s="309" t="s">
        <v>557</v>
      </c>
    </row>
    <row r="68" spans="1:7">
      <c r="A68" s="316" t="s">
        <v>639</v>
      </c>
      <c r="B68" s="314" t="s">
        <v>457</v>
      </c>
      <c r="C68" s="315" t="n">
        <v>0.00820000000000000107</v>
      </c>
      <c r="D68" s="315" t="n">
        <v>0.0600999999999999979</v>
      </c>
      <c r="E68" s="324" t="n">
        <v>0.00929999999999999893</v>
      </c>
      <c r="F68" s="324" t="n">
        <v>0.255100000000000016</v>
      </c>
      <c r="G68" s="316" t="s">
        <v>557</v>
      </c>
    </row>
    <row r="69" spans="1:7">
      <c r="A69" s="309" t="s">
        <v>640</v>
      </c>
      <c r="B69" s="247" t="s">
        <v>641</v>
      </c>
      <c r="C69" s="258" t="n">
        <v>0.0256231631472617183</v>
      </c>
      <c r="D69" s="325" t="n">
        <v>0.0796087464193942029</v>
      </c>
      <c r="E69" s="249" t="n">
        <v>0.0288087464193942289</v>
      </c>
      <c r="F69" s="249" t="n">
        <v>0.25</v>
      </c>
      <c r="G69" s="309" t="s">
        <v>564</v>
      </c>
    </row>
    <row r="70" spans="1:7">
      <c r="A70" s="309" t="s">
        <v>642</v>
      </c>
      <c r="B70" s="247" t="s">
        <v>586</v>
      </c>
      <c r="C70" s="258" t="n">
        <v>0.00619766040024019915</v>
      </c>
      <c r="D70" s="310" t="n">
        <v>0.057768180541875136</v>
      </c>
      <c r="E70" s="248" t="n">
        <v>0.00696818054187513525</v>
      </c>
      <c r="F70" s="248" t="n">
        <v>0</v>
      </c>
      <c r="G70" s="309" t="s">
        <v>557</v>
      </c>
    </row>
    <row r="71" spans="1:7">
      <c r="A71" s="309" t="s">
        <v>643</v>
      </c>
      <c r="B71" s="247" t="s">
        <v>457</v>
      </c>
      <c r="C71" s="258" t="n">
        <v>0.0922999999999999865</v>
      </c>
      <c r="D71" s="311" t="n">
        <v>0.154575138113432047</v>
      </c>
      <c r="E71" s="248" t="n">
        <v>0.103775138113432019</v>
      </c>
      <c r="F71" s="312" t="n">
        <v>0.282100000000000009</v>
      </c>
      <c r="G71" s="309" t="s">
        <v>554</v>
      </c>
    </row>
    <row r="72" spans="1:7">
      <c r="A72" s="309" t="s">
        <v>644</v>
      </c>
      <c r="B72" s="247" t="s">
        <v>457</v>
      </c>
      <c r="C72" s="258" t="n">
        <v>0.0666999999999999815</v>
      </c>
      <c r="D72" s="311" t="n">
        <v>0.12579243458467948</v>
      </c>
      <c r="E72" s="248" t="n">
        <v>0.0749924345846794793</v>
      </c>
      <c r="F72" s="312" t="n">
        <v>0.282100000000000009</v>
      </c>
      <c r="G72" s="309" t="s">
        <v>554</v>
      </c>
    </row>
    <row r="73" spans="1:7">
      <c r="A73" s="309" t="s">
        <v>645</v>
      </c>
      <c r="B73" s="247" t="s">
        <v>457</v>
      </c>
      <c r="C73" s="258" t="n">
        <v>0.0369000000000000128</v>
      </c>
      <c r="D73" s="311" t="n">
        <v>0.0922875687582409654</v>
      </c>
      <c r="E73" s="248" t="n">
        <v>0.0414875687582409913</v>
      </c>
      <c r="F73" s="312" t="n">
        <v>0.279800000000000004</v>
      </c>
      <c r="G73" s="309" t="s">
        <v>564</v>
      </c>
    </row>
    <row r="74" spans="1:7">
      <c r="A74" s="309" t="s">
        <v>646</v>
      </c>
      <c r="B74" s="247" t="s">
        <v>457</v>
      </c>
      <c r="C74" s="258" t="n">
        <v>0.0768999999999999684</v>
      </c>
      <c r="D74" s="311" t="n">
        <v>0.137260543021916792</v>
      </c>
      <c r="E74" s="248" t="n">
        <v>0.0864605430219168092</v>
      </c>
      <c r="F74" s="312" t="n">
        <v>0.279800000000000004</v>
      </c>
      <c r="G74" s="309" t="s">
        <v>561</v>
      </c>
    </row>
    <row r="75" spans="1:7">
      <c r="A75" s="309" t="s">
        <v>647</v>
      </c>
      <c r="B75" s="247" t="s">
        <v>551</v>
      </c>
      <c r="C75" s="258" t="n">
        <v>0.0461586946226844841</v>
      </c>
      <c r="D75" s="310" t="n">
        <v>0.102697344632771559</v>
      </c>
      <c r="E75" s="248" t="n">
        <v>0.0518973446327715227</v>
      </c>
      <c r="F75" s="248" t="n">
        <v>0.25</v>
      </c>
      <c r="G75" s="309" t="s">
        <v>564</v>
      </c>
    </row>
    <row r="76" spans="1:7">
      <c r="A76" s="309" t="s">
        <v>648</v>
      </c>
      <c r="B76" s="247" t="s">
        <v>548</v>
      </c>
      <c r="C76" s="258" t="n">
        <v>0.00508763167183896847</v>
      </c>
      <c r="D76" s="310" t="n">
        <v>0.0565201482060168914</v>
      </c>
      <c r="E76" s="248" t="n">
        <v>0.00572014820601690399</v>
      </c>
      <c r="F76" s="248" t="n">
        <v>0.165000000000000018</v>
      </c>
      <c r="G76" s="309" t="s">
        <v>580</v>
      </c>
    </row>
    <row r="77" spans="1:7">
      <c r="A77" s="309" t="s">
        <v>649</v>
      </c>
      <c r="B77" s="247" t="s">
        <v>576</v>
      </c>
      <c r="C77" s="258" t="n">
        <v>0.0225705841441583299</v>
      </c>
      <c r="D77" s="310" t="n">
        <v>0.0761766574957840614</v>
      </c>
      <c r="E77" s="248" t="n">
        <v>0.0253766574957840829</v>
      </c>
      <c r="F77" s="248" t="n">
        <v>0.09</v>
      </c>
      <c r="G77" s="309" t="s">
        <v>552</v>
      </c>
    </row>
    <row r="78" spans="1:7">
      <c r="A78" s="309" t="s">
        <v>650</v>
      </c>
      <c r="B78" s="247" t="s">
        <v>619</v>
      </c>
      <c r="C78" s="258" t="n">
        <v>0.0123028184064469626</v>
      </c>
      <c r="D78" s="310" t="n">
        <v>0.0646323583890954101</v>
      </c>
      <c r="E78" s="248" t="n">
        <v>0.0138323583890954227</v>
      </c>
      <c r="F78" s="248" t="n">
        <v>0.2</v>
      </c>
      <c r="G78" s="309" t="s">
        <v>557</v>
      </c>
    </row>
    <row r="79" spans="1:7">
      <c r="A79" s="309" t="s">
        <v>651</v>
      </c>
      <c r="B79" s="247" t="s">
        <v>556</v>
      </c>
      <c r="C79" s="258" t="n">
        <v>0.019518005141054962</v>
      </c>
      <c r="D79" s="310" t="n">
        <v>0.0727445685721739377</v>
      </c>
      <c r="E79" s="248" t="n">
        <v>0.021944568572173937</v>
      </c>
      <c r="F79" s="248" t="n">
        <v>0.3</v>
      </c>
      <c r="G79" s="309" t="s">
        <v>580</v>
      </c>
    </row>
    <row r="80" spans="1:7">
      <c r="A80" s="309" t="s">
        <v>652</v>
      </c>
      <c r="B80" s="247" t="s">
        <v>576</v>
      </c>
      <c r="C80" s="258" t="n">
        <v>0.0225705841441583299</v>
      </c>
      <c r="D80" s="310" t="n">
        <v>0.0761766574957840614</v>
      </c>
      <c r="E80" s="248" t="n">
        <v>0.0253766574957840829</v>
      </c>
      <c r="F80" s="248" t="n">
        <v>0.25</v>
      </c>
      <c r="G80" s="309" t="s">
        <v>580</v>
      </c>
    </row>
    <row r="81" spans="1:7">
      <c r="A81" s="309" t="s">
        <v>653</v>
      </c>
      <c r="B81" s="247" t="s">
        <v>457</v>
      </c>
      <c r="C81" s="258" t="n">
        <v>0.0195000000000000018</v>
      </c>
      <c r="D81" s="311" t="n">
        <v>0.07272432495354197</v>
      </c>
      <c r="E81" s="248" t="n">
        <v>0.0219243249535419782</v>
      </c>
      <c r="F81" s="312" t="n">
        <v>0.212800000000000011</v>
      </c>
      <c r="G81" s="309" t="s">
        <v>580</v>
      </c>
    </row>
    <row r="82" spans="1:7">
      <c r="A82" s="309" t="s">
        <v>654</v>
      </c>
      <c r="B82" s="247" t="s">
        <v>584</v>
      </c>
      <c r="C82" s="258" t="n">
        <v>0.0768694894417851682</v>
      </c>
      <c r="D82" s="310" t="n">
        <v>0.13722623925818267</v>
      </c>
      <c r="E82" s="248" t="n">
        <v>0.0864262392581826511</v>
      </c>
      <c r="F82" s="248" t="n">
        <v>0.15</v>
      </c>
      <c r="G82" s="309" t="s">
        <v>549</v>
      </c>
    </row>
    <row r="83" spans="1:7">
      <c r="A83" s="309" t="s">
        <v>655</v>
      </c>
      <c r="B83" s="247" t="s">
        <v>591</v>
      </c>
      <c r="C83" s="258" t="n">
        <v>0.00869522503914296685</v>
      </c>
      <c r="D83" s="310" t="n">
        <v>0.0605762532975561641</v>
      </c>
      <c r="E83" s="248" t="n">
        <v>0.00977625329755615979</v>
      </c>
      <c r="F83" s="248" t="n">
        <v>0.125</v>
      </c>
      <c r="G83" s="309" t="s">
        <v>557</v>
      </c>
    </row>
    <row r="84" spans="1:7">
      <c r="A84" s="309" t="s">
        <v>656</v>
      </c>
      <c r="B84" s="247" t="s">
        <v>548</v>
      </c>
      <c r="C84" s="258" t="n">
        <v>0.00508763167183896847</v>
      </c>
      <c r="D84" s="310" t="n">
        <v>0.0565201482060168914</v>
      </c>
      <c r="E84" s="248" t="n">
        <v>0.00572014820601690399</v>
      </c>
      <c r="F84" s="248" t="n">
        <v>0</v>
      </c>
      <c r="G84" s="309" t="s">
        <v>557</v>
      </c>
    </row>
    <row r="85" spans="1:7">
      <c r="A85" s="309" t="s">
        <v>657</v>
      </c>
      <c r="B85" s="247" t="s">
        <v>609</v>
      </c>
      <c r="C85" s="258" t="n">
        <v>0.0072151867346079932</v>
      </c>
      <c r="D85" s="310" t="n">
        <v>0.0589122101830785194</v>
      </c>
      <c r="E85" s="248" t="n">
        <v>0.00811221018307851693</v>
      </c>
      <c r="F85" s="248" t="n">
        <v>0.239999999999999991</v>
      </c>
      <c r="G85" s="309" t="s">
        <v>549</v>
      </c>
    </row>
    <row r="86" spans="1:7">
      <c r="A86" s="309" t="s">
        <v>658</v>
      </c>
      <c r="B86" s="247" t="s">
        <v>556</v>
      </c>
      <c r="C86" s="258" t="n">
        <v>0.019518005141054962</v>
      </c>
      <c r="D86" s="310" t="n">
        <v>0.0727445685721739377</v>
      </c>
      <c r="E86" s="248" t="n">
        <v>0.021944568572173937</v>
      </c>
      <c r="F86" s="248" t="n">
        <v>0.239999999999999991</v>
      </c>
      <c r="G86" s="309" t="s">
        <v>557</v>
      </c>
    </row>
    <row r="87" spans="1:7">
      <c r="A87" s="322" t="s">
        <v>659</v>
      </c>
      <c r="B87" s="247" t="s">
        <v>579</v>
      </c>
      <c r="C87" s="258" t="n">
        <v>0.0369084552193408788</v>
      </c>
      <c r="D87" s="310" t="n">
        <v>0.0922970751672862733</v>
      </c>
      <c r="E87" s="248" t="n">
        <v>0.0414970751672862637</v>
      </c>
      <c r="F87" s="248" t="n">
        <v>0.25</v>
      </c>
      <c r="G87" s="309" t="s">
        <v>554</v>
      </c>
    </row>
    <row r="88" spans="1:7">
      <c r="A88" s="309" t="s">
        <v>660</v>
      </c>
      <c r="B88" s="247" t="s">
        <v>588</v>
      </c>
      <c r="C88" s="258" t="n">
        <v>0.0666942260981072099</v>
      </c>
      <c r="D88" s="310" t="n">
        <v>0.125785942846148835</v>
      </c>
      <c r="E88" s="248" t="n">
        <v>0.0749859428461488431</v>
      </c>
      <c r="F88" s="248" t="n">
        <v>0.25</v>
      </c>
      <c r="G88" s="309" t="s">
        <v>561</v>
      </c>
    </row>
    <row r="89" spans="1:7">
      <c r="A89" s="309" t="s">
        <v>336</v>
      </c>
      <c r="B89" s="247" t="s">
        <v>609</v>
      </c>
      <c r="C89" s="258" t="n">
        <v>0.0072151867346079932</v>
      </c>
      <c r="D89" s="310" t="n">
        <v>0.0589122101830785194</v>
      </c>
      <c r="E89" s="248" t="n">
        <v>0.00811221018307851693</v>
      </c>
      <c r="F89" s="248" t="n">
        <v>0.308599999999999985</v>
      </c>
      <c r="G89" s="309" t="s">
        <v>580</v>
      </c>
    </row>
    <row r="90" spans="1:7">
      <c r="A90" s="309" t="s">
        <v>661</v>
      </c>
      <c r="B90" s="247" t="s">
        <v>586</v>
      </c>
      <c r="C90" s="258" t="n">
        <v>0.00619766040024019915</v>
      </c>
      <c r="D90" s="310" t="n">
        <v>0.057768180541875136</v>
      </c>
      <c r="E90" s="248" t="n">
        <v>0.00696818054187513525</v>
      </c>
      <c r="F90" s="248" t="n">
        <v>0.2</v>
      </c>
      <c r="G90" s="309" t="s">
        <v>557</v>
      </c>
    </row>
    <row r="91" spans="1:7">
      <c r="A91" s="309" t="s">
        <v>662</v>
      </c>
      <c r="B91" s="247" t="s">
        <v>551</v>
      </c>
      <c r="C91" s="258" t="n">
        <v>0.0461586946226844841</v>
      </c>
      <c r="D91" s="310" t="n">
        <v>0.102697344632771559</v>
      </c>
      <c r="E91" s="248" t="n">
        <v>0.0518973446327715227</v>
      </c>
      <c r="F91" s="248" t="n">
        <v>0.2</v>
      </c>
      <c r="G91" s="309" t="s">
        <v>549</v>
      </c>
    </row>
    <row r="92" spans="1:7">
      <c r="A92" s="318" t="s">
        <v>663</v>
      </c>
      <c r="B92" s="247" t="s">
        <v>576</v>
      </c>
      <c r="C92" s="258" t="n">
        <v>0.0225705841441583299</v>
      </c>
      <c r="D92" s="310" t="n">
        <v>0.0761766574957840614</v>
      </c>
      <c r="E92" s="248" t="n">
        <v>0.0253766574957840829</v>
      </c>
      <c r="F92" s="248" t="n">
        <v>0.2</v>
      </c>
      <c r="G92" s="309" t="s">
        <v>552</v>
      </c>
    </row>
    <row r="93" spans="1:7">
      <c r="A93" s="309" t="s">
        <v>664</v>
      </c>
      <c r="B93" s="247" t="s">
        <v>551</v>
      </c>
      <c r="C93" s="258" t="n">
        <v>0.0461586946226844841</v>
      </c>
      <c r="D93" s="310" t="n">
        <v>0.102697344632771559</v>
      </c>
      <c r="E93" s="248" t="n">
        <v>0.0518973446327715227</v>
      </c>
      <c r="F93" s="248" t="n">
        <v>0.3</v>
      </c>
      <c r="G93" s="309" t="s">
        <v>554</v>
      </c>
    </row>
    <row r="94" spans="1:7">
      <c r="A94" s="309" t="s">
        <v>665</v>
      </c>
      <c r="B94" s="247" t="s">
        <v>548</v>
      </c>
      <c r="C94" s="258" t="n">
        <v>0.00508763167183896847</v>
      </c>
      <c r="D94" s="310" t="n">
        <v>0.0565201482060168914</v>
      </c>
      <c r="E94" s="248" t="n">
        <v>0.00572014820601690399</v>
      </c>
      <c r="F94" s="248" t="n">
        <v>0.220000000000000018</v>
      </c>
      <c r="G94" s="309" t="s">
        <v>580</v>
      </c>
    </row>
    <row r="95" spans="1:7">
      <c r="A95" s="309" t="s">
        <v>666</v>
      </c>
      <c r="B95" s="247" t="s">
        <v>457</v>
      </c>
      <c r="C95" s="258" t="n">
        <v>0.102499999999999991</v>
      </c>
      <c r="D95" s="311" t="n">
        <v>0.166043246550669377</v>
      </c>
      <c r="E95" s="248" t="n">
        <v>0.115243246550669376</v>
      </c>
      <c r="F95" s="312" t="n">
        <v>0.212800000000000011</v>
      </c>
      <c r="G95" s="309" t="s">
        <v>580</v>
      </c>
    </row>
    <row r="96" spans="1:7">
      <c r="A96" s="309" t="s">
        <v>667</v>
      </c>
      <c r="B96" s="247" t="s">
        <v>548</v>
      </c>
      <c r="C96" s="258" t="n">
        <v>0.00508763167183896847</v>
      </c>
      <c r="D96" s="310" t="n">
        <v>0.0565201482060168914</v>
      </c>
      <c r="E96" s="248" t="n">
        <v>0.00572014820601690399</v>
      </c>
      <c r="F96" s="248" t="n">
        <v>0.15</v>
      </c>
      <c r="G96" s="309" t="s">
        <v>549</v>
      </c>
    </row>
    <row r="97" spans="1:7">
      <c r="A97" s="318" t="s">
        <v>668</v>
      </c>
      <c r="B97" s="247" t="s">
        <v>559</v>
      </c>
      <c r="C97" s="258" t="n">
        <v>0.056426460360395847</v>
      </c>
      <c r="D97" s="310" t="n">
        <v>0.114241643739460197</v>
      </c>
      <c r="E97" s="248" t="n">
        <v>0.0634416437394602006</v>
      </c>
      <c r="F97" s="248" t="n">
        <v>0.15</v>
      </c>
      <c r="G97" s="309" t="s">
        <v>552</v>
      </c>
    </row>
    <row r="98" spans="1:7">
      <c r="A98" s="271" t="s">
        <v>669</v>
      </c>
      <c r="B98" s="247" t="s">
        <v>457</v>
      </c>
      <c r="C98" s="246" t="n">
        <v>0.0105820888031187077</v>
      </c>
      <c r="D98" s="246" t="n">
        <v>0.0626977001849647486</v>
      </c>
      <c r="E98" s="246" t="n">
        <v>0.0118977001849647523</v>
      </c>
      <c r="F98" s="246" t="n">
        <v>0.259289347790309277</v>
      </c>
      <c r="G98" s="309" t="s">
        <v>580</v>
      </c>
    </row>
    <row r="99" spans="1:7">
      <c r="A99" s="309" t="s">
        <v>670</v>
      </c>
      <c r="B99" s="247" t="s">
        <v>619</v>
      </c>
      <c r="C99" s="258" t="n">
        <v>0.0123028184064469626</v>
      </c>
      <c r="D99" s="310" t="n">
        <v>0.0646323583890954101</v>
      </c>
      <c r="E99" s="248" t="n">
        <v>0.0138323583890954227</v>
      </c>
      <c r="F99" s="248" t="n">
        <v>0.15</v>
      </c>
      <c r="G99" s="309" t="s">
        <v>552</v>
      </c>
    </row>
    <row r="100" spans="1:7">
      <c r="A100" s="309" t="s">
        <v>671</v>
      </c>
      <c r="B100" s="247" t="s">
        <v>588</v>
      </c>
      <c r="C100" s="258" t="n">
        <v>0.0666942260981072099</v>
      </c>
      <c r="D100" s="310" t="n">
        <v>0.125785942846148835</v>
      </c>
      <c r="E100" s="248" t="n">
        <v>0.0749859428461488431</v>
      </c>
      <c r="F100" s="248" t="n">
        <v>0.15</v>
      </c>
      <c r="G100" s="309" t="s">
        <v>549</v>
      </c>
    </row>
    <row r="101" spans="1:7">
      <c r="A101" s="309" t="s">
        <v>672</v>
      </c>
      <c r="B101" s="247" t="s">
        <v>457</v>
      </c>
      <c r="C101" s="258" t="n">
        <v>0.122999999999999998</v>
      </c>
      <c r="D101" s="311" t="n">
        <v>0.18909189586080327</v>
      </c>
      <c r="E101" s="248" t="n">
        <v>0.13829189586080326</v>
      </c>
      <c r="F101" s="312" t="n">
        <v>0.282100000000000009</v>
      </c>
      <c r="G101" s="309" t="s">
        <v>554</v>
      </c>
    </row>
    <row r="102" spans="1:7">
      <c r="A102" s="309" t="s">
        <v>673</v>
      </c>
      <c r="B102" s="247" t="s">
        <v>457</v>
      </c>
      <c r="C102" s="258" t="n">
        <v>0.0768999999999999684</v>
      </c>
      <c r="D102" s="311" t="n">
        <v>0.137260543021916792</v>
      </c>
      <c r="E102" s="248" t="n">
        <v>0.0864605430219168092</v>
      </c>
      <c r="F102" s="312" t="n">
        <v>0.2</v>
      </c>
      <c r="G102" s="309" t="s">
        <v>554</v>
      </c>
    </row>
    <row r="103" spans="1:7">
      <c r="A103" s="309" t="s">
        <v>674</v>
      </c>
      <c r="B103" s="247" t="s">
        <v>569</v>
      </c>
      <c r="C103" s="258" t="n">
        <v>0</v>
      </c>
      <c r="D103" s="310" t="n">
        <v>0.0508000000000000007</v>
      </c>
      <c r="E103" s="248" t="n">
        <v>0</v>
      </c>
      <c r="F103" s="248" t="n">
        <v>0.125</v>
      </c>
      <c r="G103" s="309" t="s">
        <v>557</v>
      </c>
    </row>
    <row r="104" spans="1:7">
      <c r="A104" s="309" t="s">
        <v>675</v>
      </c>
      <c r="B104" s="247" t="s">
        <v>619</v>
      </c>
      <c r="C104" s="258" t="n">
        <v>0.0123028184064469626</v>
      </c>
      <c r="D104" s="310" t="n">
        <v>0.0646323583890954101</v>
      </c>
      <c r="E104" s="248" t="n">
        <v>0.0138323583890954227</v>
      </c>
      <c r="F104" s="248" t="n">
        <v>0.15</v>
      </c>
      <c r="G104" s="309" t="s">
        <v>552</v>
      </c>
    </row>
    <row r="105" spans="1:7">
      <c r="A105" s="309" t="s">
        <v>676</v>
      </c>
      <c r="B105" s="247" t="s">
        <v>569</v>
      </c>
      <c r="C105" s="258" t="n">
        <v>0</v>
      </c>
      <c r="D105" s="310" t="n">
        <v>0.0508000000000000007</v>
      </c>
      <c r="E105" s="248" t="n">
        <v>0</v>
      </c>
      <c r="F105" s="248" t="n">
        <v>0.270799999999999974</v>
      </c>
      <c r="G105" s="309" t="s">
        <v>557</v>
      </c>
    </row>
    <row r="106" spans="1:7">
      <c r="A106" s="309" t="s">
        <v>677</v>
      </c>
      <c r="B106" s="247" t="s">
        <v>586</v>
      </c>
      <c r="C106" s="258" t="n">
        <v>0.00619766040024019915</v>
      </c>
      <c r="D106" s="310" t="n">
        <v>0.057768180541875136</v>
      </c>
      <c r="E106" s="248" t="n">
        <v>0.00696818054187513525</v>
      </c>
      <c r="F106" s="248" t="n">
        <v>0.119999999999999996</v>
      </c>
      <c r="G106" s="309" t="s">
        <v>580</v>
      </c>
    </row>
    <row r="107" spans="1:7">
      <c r="A107" s="309" t="s">
        <v>678</v>
      </c>
      <c r="B107" s="247" t="s">
        <v>579</v>
      </c>
      <c r="C107" s="258" t="n">
        <v>0.0369084552193408788</v>
      </c>
      <c r="D107" s="310" t="n">
        <v>0.0922970751672862733</v>
      </c>
      <c r="E107" s="248" t="n">
        <v>0.0414970751672862637</v>
      </c>
      <c r="F107" s="248" t="n">
        <v>0.1</v>
      </c>
      <c r="G107" s="309" t="s">
        <v>552</v>
      </c>
    </row>
    <row r="108" spans="1:7">
      <c r="A108" s="309" t="s">
        <v>679</v>
      </c>
      <c r="B108" s="247" t="s">
        <v>457</v>
      </c>
      <c r="C108" s="258" t="n">
        <v>0.0563999999999999968</v>
      </c>
      <c r="D108" s="311" t="n">
        <v>0.114211893711782952</v>
      </c>
      <c r="E108" s="248" t="n">
        <v>0.0634118937117829518</v>
      </c>
      <c r="F108" s="312" t="n">
        <v>0.2</v>
      </c>
      <c r="G108" s="309" t="s">
        <v>554</v>
      </c>
    </row>
    <row r="109" spans="1:7">
      <c r="A109" s="309" t="s">
        <v>680</v>
      </c>
      <c r="B109" s="247" t="s">
        <v>457</v>
      </c>
      <c r="C109" s="258" t="n">
        <v>0.0768999999999999684</v>
      </c>
      <c r="D109" s="311" t="n">
        <v>0.137260543021916792</v>
      </c>
      <c r="E109" s="248" t="n">
        <v>0.0864605430219168092</v>
      </c>
      <c r="F109" s="312" t="n">
        <v>0.3</v>
      </c>
      <c r="G109" s="309" t="s">
        <v>554</v>
      </c>
    </row>
    <row r="110" spans="1:7">
      <c r="A110" s="309" t="s">
        <v>681</v>
      </c>
      <c r="B110" s="247" t="s">
        <v>619</v>
      </c>
      <c r="C110" s="258" t="n">
        <v>0.0123028184064469626</v>
      </c>
      <c r="D110" s="310" t="n">
        <v>0.0646323583890954101</v>
      </c>
      <c r="E110" s="248" t="n">
        <v>0.0138323583890954227</v>
      </c>
      <c r="F110" s="248" t="n">
        <v>0.239999999999999991</v>
      </c>
      <c r="G110" s="309" t="s">
        <v>580</v>
      </c>
    </row>
    <row r="111" spans="1:7">
      <c r="A111" s="309" t="s">
        <v>682</v>
      </c>
      <c r="B111" s="247" t="s">
        <v>457</v>
      </c>
      <c r="C111" s="258" t="n">
        <v>0.0768999999999999684</v>
      </c>
      <c r="D111" s="311" t="n">
        <v>0.137260543021916792</v>
      </c>
      <c r="E111" s="248" t="n">
        <v>0.0864605430219168092</v>
      </c>
      <c r="F111" s="312" t="n">
        <v>0.282100000000000009</v>
      </c>
      <c r="G111" s="309" t="s">
        <v>554</v>
      </c>
    </row>
    <row r="112" spans="1:7">
      <c r="A112" s="309" t="s">
        <v>683</v>
      </c>
      <c r="B112" s="247" t="s">
        <v>619</v>
      </c>
      <c r="C112" s="258" t="n">
        <v>0.0123028184064469626</v>
      </c>
      <c r="D112" s="310" t="n">
        <v>0.0646323583890954101</v>
      </c>
      <c r="E112" s="248" t="n">
        <v>0.0138323583890954227</v>
      </c>
      <c r="F112" s="248" t="n">
        <v>0.35</v>
      </c>
      <c r="G112" s="309" t="s">
        <v>557</v>
      </c>
    </row>
    <row r="113" spans="1:7">
      <c r="A113" s="309" t="s">
        <v>684</v>
      </c>
      <c r="B113" s="247" t="s">
        <v>567</v>
      </c>
      <c r="C113" s="258" t="n">
        <v>0.0163729237439181396</v>
      </c>
      <c r="D113" s="310" t="n">
        <v>0.0692084769539089617</v>
      </c>
      <c r="E113" s="248" t="n">
        <v>0.018408476953908945</v>
      </c>
      <c r="F113" s="248" t="n">
        <v>0.15</v>
      </c>
      <c r="G113" s="309" t="s">
        <v>580</v>
      </c>
    </row>
    <row r="114" spans="1:7">
      <c r="A114" s="309" t="s">
        <v>685</v>
      </c>
      <c r="B114" s="247" t="s">
        <v>619</v>
      </c>
      <c r="C114" s="258" t="n">
        <v>0.0123028184064469626</v>
      </c>
      <c r="D114" s="310" t="n">
        <v>0.0646323583890954101</v>
      </c>
      <c r="E114" s="248" t="n">
        <v>0.0138323583890954227</v>
      </c>
      <c r="F114" s="248" t="n">
        <v>0.3</v>
      </c>
      <c r="G114" s="309" t="s">
        <v>564</v>
      </c>
    </row>
    <row r="115" spans="1:7">
      <c r="A115" s="309" t="s">
        <v>686</v>
      </c>
      <c r="B115" s="247" t="s">
        <v>588</v>
      </c>
      <c r="C115" s="258" t="n">
        <v>0.0666942260981072099</v>
      </c>
      <c r="D115" s="310" t="n">
        <v>0.125785942846148835</v>
      </c>
      <c r="E115" s="248" t="n">
        <v>0.0749859428461488431</v>
      </c>
      <c r="F115" s="248" t="n">
        <v>0.119999999999999996</v>
      </c>
      <c r="G115" s="309" t="s">
        <v>552</v>
      </c>
    </row>
    <row r="116" spans="1:7">
      <c r="A116" s="309" t="s">
        <v>687</v>
      </c>
      <c r="B116" s="247" t="s">
        <v>584</v>
      </c>
      <c r="C116" s="258" t="n">
        <v>0.0768694894417851682</v>
      </c>
      <c r="D116" s="310" t="n">
        <v>0.13722623925818267</v>
      </c>
      <c r="E116" s="248" t="n">
        <v>0.0864262392581826511</v>
      </c>
      <c r="F116" s="248" t="n">
        <v>0.25</v>
      </c>
      <c r="G116" s="309" t="s">
        <v>580</v>
      </c>
    </row>
    <row r="117" spans="1:7">
      <c r="A117" s="309" t="s">
        <v>688</v>
      </c>
      <c r="B117" s="247" t="s">
        <v>551</v>
      </c>
      <c r="C117" s="258" t="n">
        <v>0.0461586946226844841</v>
      </c>
      <c r="D117" s="310" t="n">
        <v>0.102697344632771559</v>
      </c>
      <c r="E117" s="248" t="n">
        <v>0.0518973446327715227</v>
      </c>
      <c r="F117" s="248" t="n">
        <v>0.09</v>
      </c>
      <c r="G117" s="309" t="s">
        <v>552</v>
      </c>
    </row>
    <row r="118" spans="1:7">
      <c r="A118" s="309" t="s">
        <v>689</v>
      </c>
      <c r="B118" s="247" t="s">
        <v>576</v>
      </c>
      <c r="C118" s="258" t="n">
        <v>0.0225705841441583299</v>
      </c>
      <c r="D118" s="310" t="n">
        <v>0.0761766574957840614</v>
      </c>
      <c r="E118" s="248" t="n">
        <v>0.0253766574957840829</v>
      </c>
      <c r="F118" s="248" t="n">
        <v>0.279800000000000004</v>
      </c>
      <c r="G118" s="309" t="s">
        <v>561</v>
      </c>
    </row>
    <row r="119" spans="1:7">
      <c r="A119" s="309" t="s">
        <v>690</v>
      </c>
      <c r="B119" s="247" t="s">
        <v>641</v>
      </c>
      <c r="C119" s="258" t="n">
        <v>0.0256231631472617183</v>
      </c>
      <c r="D119" s="310" t="n">
        <v>0.0796087464193942029</v>
      </c>
      <c r="E119" s="248" t="n">
        <v>0.0288087464193942289</v>
      </c>
      <c r="F119" s="248" t="n">
        <v>0.310000000000000009</v>
      </c>
      <c r="G119" s="309" t="s">
        <v>554</v>
      </c>
    </row>
    <row r="120" spans="1:7">
      <c r="A120" s="309" t="s">
        <v>691</v>
      </c>
      <c r="B120" s="247" t="s">
        <v>582</v>
      </c>
      <c r="C120" s="258" t="n">
        <v>0.102492652589046873</v>
      </c>
      <c r="D120" s="310" t="n">
        <v>0.166034985677576907</v>
      </c>
      <c r="E120" s="248" t="n">
        <v>0.115234985677576907</v>
      </c>
      <c r="F120" s="248" t="n">
        <v>0.320000000000000018</v>
      </c>
      <c r="G120" s="309" t="s">
        <v>554</v>
      </c>
    </row>
    <row r="121" spans="1:7">
      <c r="A121" s="309" t="s">
        <v>692</v>
      </c>
      <c r="B121" s="247" t="s">
        <v>457</v>
      </c>
      <c r="C121" s="258" t="n">
        <v>0.0666999999999999815</v>
      </c>
      <c r="D121" s="311" t="n">
        <v>0.12579243458467948</v>
      </c>
      <c r="E121" s="248" t="n">
        <v>0.0749924345846794793</v>
      </c>
      <c r="F121" s="312" t="n">
        <v>0.25</v>
      </c>
      <c r="G121" s="309" t="s">
        <v>580</v>
      </c>
    </row>
    <row r="122" spans="1:7">
      <c r="A122" s="309" t="s">
        <v>693</v>
      </c>
      <c r="B122" s="247" t="s">
        <v>641</v>
      </c>
      <c r="C122" s="258" t="n">
        <v>0.0256231631472617183</v>
      </c>
      <c r="D122" s="310" t="n">
        <v>0.0796087464193942029</v>
      </c>
      <c r="E122" s="248" t="n">
        <v>0.0288087464193942289</v>
      </c>
      <c r="F122" s="248" t="n">
        <v>0.320000000000000018</v>
      </c>
      <c r="G122" s="309" t="s">
        <v>554</v>
      </c>
    </row>
    <row r="123" spans="1:7">
      <c r="A123" s="309" t="s">
        <v>694</v>
      </c>
      <c r="B123" s="247" t="s">
        <v>569</v>
      </c>
      <c r="C123" s="258" t="n">
        <v>0</v>
      </c>
      <c r="D123" s="310" t="n">
        <v>0.0508000000000000007</v>
      </c>
      <c r="E123" s="248" t="n">
        <v>0</v>
      </c>
      <c r="F123" s="248" t="n">
        <v>0.25</v>
      </c>
      <c r="G123" s="309" t="s">
        <v>557</v>
      </c>
    </row>
    <row r="124" spans="1:7">
      <c r="A124" s="313" t="s">
        <v>695</v>
      </c>
      <c r="B124" s="314" t="s">
        <v>457</v>
      </c>
      <c r="C124" s="315" t="n">
        <v>0.0561359505272803538</v>
      </c>
      <c r="D124" s="315" t="n">
        <v>0.113915016458259011</v>
      </c>
      <c r="E124" s="315" t="n">
        <v>0.0631150164582590101</v>
      </c>
      <c r="F124" s="315" t="n">
        <v>0.240248434850359738</v>
      </c>
      <c r="G124" s="316" t="s">
        <v>561</v>
      </c>
    </row>
    <row r="125" spans="1:7">
      <c r="A125" s="309" t="s">
        <v>696</v>
      </c>
      <c r="B125" s="247" t="s">
        <v>569</v>
      </c>
      <c r="C125" s="258" t="n">
        <v>0</v>
      </c>
      <c r="D125" s="310" t="n">
        <v>0.0508000000000000007</v>
      </c>
      <c r="E125" s="248" t="n">
        <v>0</v>
      </c>
      <c r="F125" s="248" t="n">
        <v>0.280000000000000036</v>
      </c>
      <c r="G125" s="309" t="s">
        <v>570</v>
      </c>
    </row>
    <row r="126" spans="1:7">
      <c r="A126" s="309" t="s">
        <v>697</v>
      </c>
      <c r="B126" s="247" t="s">
        <v>559</v>
      </c>
      <c r="C126" s="258" t="n">
        <v>0.056426460360395847</v>
      </c>
      <c r="D126" s="310" t="n">
        <v>0.114241643739460197</v>
      </c>
      <c r="E126" s="248" t="n">
        <v>0.0634416437394602006</v>
      </c>
      <c r="F126" s="248" t="n">
        <v>0.3</v>
      </c>
      <c r="G126" s="309" t="s">
        <v>564</v>
      </c>
    </row>
    <row r="127" spans="1:7">
      <c r="A127" s="309" t="s">
        <v>698</v>
      </c>
      <c r="B127" s="247" t="s">
        <v>457</v>
      </c>
      <c r="C127" s="258" t="n">
        <v>0.122999999999999998</v>
      </c>
      <c r="D127" s="311" t="n">
        <v>0.18909189586080327</v>
      </c>
      <c r="E127" s="248" t="n">
        <v>0.13829189586080326</v>
      </c>
      <c r="F127" s="312" t="n">
        <v>0.282100000000000009</v>
      </c>
      <c r="G127" s="309" t="s">
        <v>554</v>
      </c>
    </row>
    <row r="128" spans="1:7">
      <c r="A128" s="309" t="s">
        <v>699</v>
      </c>
      <c r="B128" s="247" t="s">
        <v>559</v>
      </c>
      <c r="C128" s="258" t="n">
        <v>0.056426460360395847</v>
      </c>
      <c r="D128" s="310" t="n">
        <v>0.114241643739460197</v>
      </c>
      <c r="E128" s="248" t="n">
        <v>0.0634416437394602006</v>
      </c>
      <c r="F128" s="248" t="n">
        <v>0.3</v>
      </c>
      <c r="G128" s="309" t="s">
        <v>554</v>
      </c>
    </row>
    <row r="129" spans="1:7">
      <c r="A129" s="309" t="s">
        <v>700</v>
      </c>
      <c r="B129" s="247" t="s">
        <v>569</v>
      </c>
      <c r="C129" s="258" t="n">
        <v>0</v>
      </c>
      <c r="D129" s="310" t="n">
        <v>0.0508000000000000007</v>
      </c>
      <c r="E129" s="248" t="n">
        <v>0</v>
      </c>
      <c r="F129" s="248" t="n">
        <v>0.239999999999999991</v>
      </c>
      <c r="G129" s="309" t="s">
        <v>557</v>
      </c>
    </row>
    <row r="130" spans="1:7">
      <c r="A130" s="309" t="s">
        <v>701</v>
      </c>
      <c r="B130" s="247" t="s">
        <v>556</v>
      </c>
      <c r="C130" s="258" t="n">
        <v>0.019518005141054962</v>
      </c>
      <c r="D130" s="310" t="n">
        <v>0.0727445685721739377</v>
      </c>
      <c r="E130" s="248" t="n">
        <v>0.021944568572173937</v>
      </c>
      <c r="F130" s="248" t="n">
        <v>0.15</v>
      </c>
      <c r="G130" s="309" t="s">
        <v>549</v>
      </c>
    </row>
    <row r="131" spans="1:7">
      <c r="A131" s="309" t="s">
        <v>702</v>
      </c>
      <c r="B131" s="247" t="s">
        <v>588</v>
      </c>
      <c r="C131" s="258" t="n">
        <v>0.0666942260981072099</v>
      </c>
      <c r="D131" s="310" t="n">
        <v>0.125785942846148835</v>
      </c>
      <c r="E131" s="248" t="n">
        <v>0.0749859428461488431</v>
      </c>
      <c r="F131" s="248" t="n">
        <v>0.310000000000000009</v>
      </c>
      <c r="G131" s="309" t="s">
        <v>580</v>
      </c>
    </row>
    <row r="132" spans="1:7">
      <c r="A132" s="326" t="s">
        <v>703</v>
      </c>
      <c r="B132" s="247" t="s">
        <v>457</v>
      </c>
      <c r="C132" s="246" t="n">
        <v>0.0142995152256935443</v>
      </c>
      <c r="D132" s="246" t="n">
        <v>0.066877293255703929</v>
      </c>
      <c r="E132" s="246" t="n">
        <v>0.0160772932557039194</v>
      </c>
      <c r="F132" s="246" t="n">
        <v>0.205625915550872573</v>
      </c>
      <c r="G132" s="309" t="s">
        <v>549</v>
      </c>
    </row>
    <row r="133" spans="1:7">
      <c r="A133" s="309" t="s">
        <v>704</v>
      </c>
      <c r="B133" s="247" t="s">
        <v>556</v>
      </c>
      <c r="C133" s="258" t="n">
        <v>0.019518005141054962</v>
      </c>
      <c r="D133" s="310" t="n">
        <v>0.0727445685721739377</v>
      </c>
      <c r="E133" s="248" t="n">
        <v>0.021944568572173937</v>
      </c>
      <c r="F133" s="248" t="n">
        <v>0.25</v>
      </c>
      <c r="G133" s="309" t="s">
        <v>564</v>
      </c>
    </row>
    <row r="134" spans="1:7">
      <c r="A134" s="309" t="s">
        <v>705</v>
      </c>
      <c r="B134" s="247" t="s">
        <v>559</v>
      </c>
      <c r="C134" s="258" t="n">
        <v>0.056426460360395847</v>
      </c>
      <c r="D134" s="310" t="n">
        <v>0.114241643739460197</v>
      </c>
      <c r="E134" s="248" t="n">
        <v>0.0634416437394602006</v>
      </c>
      <c r="F134" s="248" t="n">
        <v>0.3</v>
      </c>
      <c r="G134" s="309" t="s">
        <v>580</v>
      </c>
    </row>
    <row r="135" spans="1:7">
      <c r="A135" s="309" t="s">
        <v>706</v>
      </c>
      <c r="B135" s="247" t="s">
        <v>641</v>
      </c>
      <c r="C135" s="258" t="n">
        <v>0.0256231631472617183</v>
      </c>
      <c r="D135" s="310" t="n">
        <v>0.0796087464193942029</v>
      </c>
      <c r="E135" s="248" t="n">
        <v>0.0288087464193942289</v>
      </c>
      <c r="F135" s="248" t="n">
        <v>0.1</v>
      </c>
      <c r="G135" s="309" t="s">
        <v>564</v>
      </c>
    </row>
    <row r="136" spans="1:7">
      <c r="A136" s="309" t="s">
        <v>707</v>
      </c>
      <c r="B136" s="247" t="s">
        <v>619</v>
      </c>
      <c r="C136" s="258" t="n">
        <v>0.0123028184064469626</v>
      </c>
      <c r="D136" s="310" t="n">
        <v>0.0646323583890954101</v>
      </c>
      <c r="E136" s="248" t="n">
        <v>0.0138323583890954227</v>
      </c>
      <c r="F136" s="248" t="n">
        <v>0.294999999999999964</v>
      </c>
      <c r="G136" s="309" t="s">
        <v>564</v>
      </c>
    </row>
    <row r="137" spans="1:7">
      <c r="A137" s="309" t="s">
        <v>708</v>
      </c>
      <c r="B137" s="247" t="s">
        <v>556</v>
      </c>
      <c r="C137" s="258" t="n">
        <v>0.019518005141054962</v>
      </c>
      <c r="D137" s="310" t="n">
        <v>0.0727445685721739377</v>
      </c>
      <c r="E137" s="248" t="n">
        <v>0.021944568572173937</v>
      </c>
      <c r="F137" s="248" t="n">
        <v>0.3</v>
      </c>
      <c r="G137" s="309" t="s">
        <v>580</v>
      </c>
    </row>
    <row r="138" spans="1:7">
      <c r="A138" s="309" t="s">
        <v>709</v>
      </c>
      <c r="B138" s="247" t="s">
        <v>591</v>
      </c>
      <c r="C138" s="258" t="n">
        <v>0.00869522503914296685</v>
      </c>
      <c r="D138" s="310" t="n">
        <v>0.0605762532975561641</v>
      </c>
      <c r="E138" s="248" t="n">
        <v>0.00977625329755615979</v>
      </c>
      <c r="F138" s="248" t="n">
        <v>0.19</v>
      </c>
      <c r="G138" s="309" t="s">
        <v>552</v>
      </c>
    </row>
    <row r="139" spans="1:7">
      <c r="A139" s="309" t="s">
        <v>710</v>
      </c>
      <c r="B139" s="247" t="s">
        <v>641</v>
      </c>
      <c r="C139" s="258" t="n">
        <v>0.0256231631472617183</v>
      </c>
      <c r="D139" s="310" t="n">
        <v>0.0796087464193942029</v>
      </c>
      <c r="E139" s="248" t="n">
        <v>0.0288087464193942289</v>
      </c>
      <c r="F139" s="248" t="n">
        <v>0.210000000000000009</v>
      </c>
      <c r="G139" s="309" t="s">
        <v>557</v>
      </c>
    </row>
    <row r="140" spans="1:7">
      <c r="A140" s="309" t="s">
        <v>711</v>
      </c>
      <c r="B140" s="247" t="s">
        <v>586</v>
      </c>
      <c r="C140" s="258" t="n">
        <v>0.00619766040024019915</v>
      </c>
      <c r="D140" s="310" t="n">
        <v>0.057768180541875136</v>
      </c>
      <c r="E140" s="248" t="n">
        <v>0.00696818054187513525</v>
      </c>
      <c r="F140" s="248" t="n">
        <v>0.1</v>
      </c>
      <c r="G140" s="309" t="s">
        <v>549</v>
      </c>
    </row>
    <row r="141" spans="1:7">
      <c r="A141" s="309" t="s">
        <v>712</v>
      </c>
      <c r="B141" s="247" t="s">
        <v>591</v>
      </c>
      <c r="C141" s="258" t="n">
        <v>0.00869522503914296685</v>
      </c>
      <c r="D141" s="310" t="n">
        <v>0.0605762532975561641</v>
      </c>
      <c r="E141" s="248" t="n">
        <v>0.00977625329755615979</v>
      </c>
      <c r="F141" s="248" t="n">
        <v>0</v>
      </c>
      <c r="G141" s="309" t="s">
        <v>549</v>
      </c>
    </row>
    <row r="142" spans="1:7">
      <c r="A142" s="326" t="s">
        <v>713</v>
      </c>
      <c r="B142" s="247" t="s">
        <v>457</v>
      </c>
      <c r="C142" s="246" t="n">
        <v>0.048597450282648964</v>
      </c>
      <c r="D142" s="246" t="n">
        <v>0.104724928047050891</v>
      </c>
      <c r="E142" s="246" t="n">
        <v>0.0546392970210459961</v>
      </c>
      <c r="F142" s="246" t="n">
        <v>0.276136660301219905</v>
      </c>
      <c r="G142" s="309" t="s">
        <v>554</v>
      </c>
    </row>
    <row r="143" spans="1:7">
      <c r="A143" s="309" t="s">
        <v>714</v>
      </c>
      <c r="B143" s="247" t="s">
        <v>576</v>
      </c>
      <c r="C143" s="258" t="n">
        <v>0.0225705841441583299</v>
      </c>
      <c r="D143" s="310" t="n">
        <v>0.0761766574957840614</v>
      </c>
      <c r="E143" s="248" t="n">
        <v>0.0253766574957840829</v>
      </c>
      <c r="F143" s="248" t="n">
        <v>0.160000000000000009</v>
      </c>
      <c r="G143" s="309" t="s">
        <v>552</v>
      </c>
    </row>
    <row r="144" spans="1:7">
      <c r="A144" s="309" t="s">
        <v>715</v>
      </c>
      <c r="B144" s="247" t="s">
        <v>641</v>
      </c>
      <c r="C144" s="258" t="n">
        <v>0.0256231631472617183</v>
      </c>
      <c r="D144" s="310" t="n">
        <v>0.0796087464193942029</v>
      </c>
      <c r="E144" s="248" t="n">
        <v>0.0288087464193942289</v>
      </c>
      <c r="F144" s="248" t="n">
        <v>0.2</v>
      </c>
      <c r="G144" s="309" t="s">
        <v>552</v>
      </c>
    </row>
    <row r="145" spans="1:7">
      <c r="A145" s="309" t="s">
        <v>716</v>
      </c>
      <c r="B145" s="247" t="s">
        <v>559</v>
      </c>
      <c r="C145" s="258" t="n">
        <v>0.056426460360395847</v>
      </c>
      <c r="D145" s="310" t="n">
        <v>0.114241643739460197</v>
      </c>
      <c r="E145" s="248" t="n">
        <v>0.0634416437394602006</v>
      </c>
      <c r="F145" s="248" t="n">
        <v>0.3</v>
      </c>
      <c r="G145" s="309" t="s">
        <v>554</v>
      </c>
    </row>
    <row r="146" spans="1:7">
      <c r="A146" s="318" t="s">
        <v>717</v>
      </c>
      <c r="B146" s="247" t="s">
        <v>457</v>
      </c>
      <c r="C146" s="246" t="n">
        <v>0.0561359505272803538</v>
      </c>
      <c r="D146" s="246" t="n">
        <v>0.113915016458259011</v>
      </c>
      <c r="E146" s="246" t="n">
        <v>0.0631150164582590101</v>
      </c>
      <c r="F146" s="246" t="n">
        <v>0.240248434850359738</v>
      </c>
      <c r="G146" s="309" t="s">
        <v>561</v>
      </c>
    </row>
    <row r="147" spans="1:7">
      <c r="A147" s="309" t="s">
        <v>718</v>
      </c>
      <c r="B147" s="247" t="s">
        <v>609</v>
      </c>
      <c r="C147" s="258" t="n">
        <v>0.0072151867346079932</v>
      </c>
      <c r="D147" s="310" t="n">
        <v>0.0589122101830785194</v>
      </c>
      <c r="E147" s="248" t="n">
        <v>0.00811221018307851693</v>
      </c>
      <c r="F147" s="248" t="n">
        <v>0.2</v>
      </c>
      <c r="G147" s="309" t="s">
        <v>549</v>
      </c>
    </row>
    <row r="148" spans="1:7">
      <c r="A148" s="309" t="s">
        <v>719</v>
      </c>
      <c r="B148" s="247" t="s">
        <v>579</v>
      </c>
      <c r="C148" s="258" t="n">
        <v>0.0369084552193408788</v>
      </c>
      <c r="D148" s="310" t="n">
        <v>0.0922970751672862733</v>
      </c>
      <c r="E148" s="248" t="n">
        <v>0.0414970751672862637</v>
      </c>
      <c r="F148" s="248" t="n">
        <v>0.3</v>
      </c>
      <c r="G148" s="309" t="s">
        <v>554</v>
      </c>
    </row>
    <row r="149" spans="1:7">
      <c r="A149" s="309" t="s">
        <v>720</v>
      </c>
      <c r="B149" s="247" t="s">
        <v>579</v>
      </c>
      <c r="C149" s="258" t="n">
        <v>0.0369084552193408788</v>
      </c>
      <c r="D149" s="310" t="n">
        <v>0.0922970751672862733</v>
      </c>
      <c r="E149" s="248" t="n">
        <v>0.0414970751672862637</v>
      </c>
      <c r="F149" s="248" t="n">
        <v>0.15</v>
      </c>
      <c r="G149" s="309" t="s">
        <v>552</v>
      </c>
    </row>
    <row r="150" spans="1:7">
      <c r="A150" s="309" t="s">
        <v>721</v>
      </c>
      <c r="B150" s="247" t="s">
        <v>619</v>
      </c>
      <c r="C150" s="258" t="n">
        <v>0.0123028184064469626</v>
      </c>
      <c r="D150" s="310" t="n">
        <v>0.0646323583890954101</v>
      </c>
      <c r="E150" s="248" t="n">
        <v>0.0138323583890954227</v>
      </c>
      <c r="F150" s="248" t="n">
        <v>0</v>
      </c>
      <c r="G150" s="309" t="s">
        <v>549</v>
      </c>
    </row>
    <row r="151" spans="1:7">
      <c r="A151" s="309" t="s">
        <v>722</v>
      </c>
      <c r="B151" s="247" t="s">
        <v>457</v>
      </c>
      <c r="C151" s="258" t="n">
        <v>0.122999999999999998</v>
      </c>
      <c r="D151" s="311" t="n">
        <v>0.18909189586080327</v>
      </c>
      <c r="E151" s="248" t="n">
        <v>0.13829189586080326</v>
      </c>
      <c r="F151" s="312" t="n">
        <v>0.3</v>
      </c>
      <c r="G151" s="309" t="s">
        <v>554</v>
      </c>
    </row>
    <row r="152" spans="1:7">
      <c r="A152" s="309" t="s">
        <v>723</v>
      </c>
      <c r="B152" s="247" t="s">
        <v>569</v>
      </c>
      <c r="C152" s="258" t="n">
        <v>0</v>
      </c>
      <c r="D152" s="310" t="n">
        <v>0.0508000000000000007</v>
      </c>
      <c r="E152" s="248" t="n">
        <v>0</v>
      </c>
      <c r="F152" s="248" t="n">
        <v>0.170000000000000018</v>
      </c>
      <c r="G152" s="309" t="s">
        <v>580</v>
      </c>
    </row>
    <row r="153" spans="1:7">
      <c r="A153" s="309" t="s">
        <v>724</v>
      </c>
      <c r="B153" s="247" t="s">
        <v>591</v>
      </c>
      <c r="C153" s="258" t="n">
        <v>0.00869522503914296685</v>
      </c>
      <c r="D153" s="310" t="n">
        <v>0.0605762532975561641</v>
      </c>
      <c r="E153" s="248" t="n">
        <v>0.00977625329755615979</v>
      </c>
      <c r="F153" s="248" t="n">
        <v>0.210000000000000009</v>
      </c>
      <c r="G153" s="309" t="s">
        <v>552</v>
      </c>
    </row>
    <row r="154" spans="1:7">
      <c r="A154" s="309" t="s">
        <v>725</v>
      </c>
      <c r="B154" s="247" t="s">
        <v>567</v>
      </c>
      <c r="C154" s="258" t="n">
        <v>0.0163729237439181396</v>
      </c>
      <c r="D154" s="310" t="n">
        <v>0.0692084769539089617</v>
      </c>
      <c r="E154" s="248" t="n">
        <v>0.018408476953908945</v>
      </c>
      <c r="F154" s="248" t="n">
        <v>0.19</v>
      </c>
      <c r="G154" s="309" t="s">
        <v>552</v>
      </c>
    </row>
    <row r="155" spans="1:7">
      <c r="A155" s="318" t="s">
        <v>726</v>
      </c>
      <c r="B155" s="247" t="s">
        <v>457</v>
      </c>
      <c r="C155" s="246" t="n">
        <v>0.0105820888031187077</v>
      </c>
      <c r="D155" s="246" t="n">
        <v>0.0626977001849647486</v>
      </c>
      <c r="E155" s="246" t="n">
        <v>0.0118977001849647523</v>
      </c>
      <c r="F155" s="246" t="n">
        <v>0.259289347790309277</v>
      </c>
      <c r="G155" s="309" t="s">
        <v>580</v>
      </c>
    </row>
    <row r="156" spans="1:7">
      <c r="A156" s="309" t="s">
        <v>727</v>
      </c>
      <c r="B156" s="247" t="s">
        <v>457</v>
      </c>
      <c r="C156" s="258" t="n">
        <v>0.122999999999999998</v>
      </c>
      <c r="D156" s="311" t="n">
        <v>0.18909189586080327</v>
      </c>
      <c r="E156" s="248" t="n">
        <v>0.13829189586080326</v>
      </c>
      <c r="F156" s="312" t="n">
        <v>0.2</v>
      </c>
      <c r="G156" s="309" t="s">
        <v>554</v>
      </c>
    </row>
    <row r="157" spans="1:7">
      <c r="A157" s="309" t="s">
        <v>728</v>
      </c>
      <c r="B157" s="247" t="s">
        <v>576</v>
      </c>
      <c r="C157" s="258" t="n">
        <v>0.0225705841441583299</v>
      </c>
      <c r="D157" s="310" t="n">
        <v>0.0761766574957840614</v>
      </c>
      <c r="E157" s="248" t="n">
        <v>0.0253766574957840829</v>
      </c>
      <c r="F157" s="248" t="n">
        <v>0.280000000000000036</v>
      </c>
      <c r="G157" s="309" t="s">
        <v>554</v>
      </c>
    </row>
    <row r="158" spans="1:7">
      <c r="A158" s="309" t="s">
        <v>729</v>
      </c>
      <c r="B158" s="247" t="s">
        <v>556</v>
      </c>
      <c r="C158" s="258" t="n">
        <v>0.019518005141054962</v>
      </c>
      <c r="D158" s="310" t="n">
        <v>0.0727445685721739377</v>
      </c>
      <c r="E158" s="248" t="n">
        <v>0.021944568572173937</v>
      </c>
      <c r="F158" s="248" t="n">
        <v>0.25</v>
      </c>
      <c r="G158" s="309" t="s">
        <v>557</v>
      </c>
    </row>
    <row r="159" spans="1:7">
      <c r="A159" s="309" t="s">
        <v>730</v>
      </c>
      <c r="B159" s="247" t="s">
        <v>551</v>
      </c>
      <c r="C159" s="258" t="n">
        <v>0.0461586946226844841</v>
      </c>
      <c r="D159" s="310" t="n">
        <v>0.102697344632771559</v>
      </c>
      <c r="E159" s="248" t="n">
        <v>0.0518973446327715227</v>
      </c>
      <c r="F159" s="248" t="n">
        <v>0.280000000000000036</v>
      </c>
      <c r="G159" s="309" t="s">
        <v>580</v>
      </c>
    </row>
    <row r="160" spans="1:7">
      <c r="A160" s="309" t="s">
        <v>731</v>
      </c>
      <c r="B160" s="247" t="s">
        <v>556</v>
      </c>
      <c r="C160" s="258" t="n">
        <v>0.019518005141054962</v>
      </c>
      <c r="D160" s="310" t="n">
        <v>0.0727445685721739377</v>
      </c>
      <c r="E160" s="248" t="n">
        <v>0.021944568572173937</v>
      </c>
      <c r="F160" s="248" t="n">
        <v>0.344999999999999973</v>
      </c>
      <c r="G160" s="309" t="s">
        <v>561</v>
      </c>
    </row>
    <row r="161" spans="1:7">
      <c r="A161" s="309" t="s">
        <v>732</v>
      </c>
      <c r="B161" s="247" t="s">
        <v>588</v>
      </c>
      <c r="C161" s="258" t="n">
        <v>0.0666942260981072099</v>
      </c>
      <c r="D161" s="310" t="n">
        <v>0.125785942846148835</v>
      </c>
      <c r="E161" s="248" t="n">
        <v>0.0749859428461488431</v>
      </c>
      <c r="F161" s="248" t="n">
        <v>0.279800000000000004</v>
      </c>
      <c r="G161" s="309" t="s">
        <v>561</v>
      </c>
    </row>
    <row r="162" spans="1:7">
      <c r="A162" s="309" t="s">
        <v>733</v>
      </c>
      <c r="B162" s="247" t="s">
        <v>457</v>
      </c>
      <c r="C162" s="258" t="n">
        <v>0.179999999999999964</v>
      </c>
      <c r="D162" s="311" t="n">
        <v>0.253178384186541283</v>
      </c>
      <c r="E162" s="248" t="n">
        <v>0.202378384186541282</v>
      </c>
      <c r="F162" s="312" t="n">
        <v>0.35</v>
      </c>
      <c r="G162" s="309" t="s">
        <v>554</v>
      </c>
    </row>
    <row r="163" spans="1:7">
      <c r="A163" s="309" t="s">
        <v>734</v>
      </c>
      <c r="B163" s="247" t="s">
        <v>551</v>
      </c>
      <c r="C163" s="258" t="n">
        <v>0.0461586946226844841</v>
      </c>
      <c r="D163" s="310" t="n">
        <v>0.102697344632771559</v>
      </c>
      <c r="E163" s="248" t="n">
        <v>0.0518973446327715227</v>
      </c>
      <c r="F163" s="248" t="n">
        <v>0.359999999999999964</v>
      </c>
      <c r="G163" s="309" t="s">
        <v>564</v>
      </c>
    </row>
    <row r="164" spans="1:7">
      <c r="A164" s="309" t="s">
        <v>735</v>
      </c>
      <c r="B164" s="327" t="s">
        <v>559</v>
      </c>
      <c r="C164" s="258" t="n">
        <v>0</v>
      </c>
      <c r="D164" s="328" t="n">
        <v>0.0508000000000000007</v>
      </c>
      <c r="E164" s="329" t="n">
        <v>0</v>
      </c>
      <c r="F164" s="246" t="n">
        <v>0.275</v>
      </c>
      <c r="G164" s="330" t="s">
        <v>554</v>
      </c>
    </row>
    <row r="165" spans="1:7">
      <c r="A165" s="309" t="s">
        <v>736</v>
      </c>
      <c r="B165" s="327" t="s">
        <v>569</v>
      </c>
      <c r="C165" s="258" t="n">
        <v>0</v>
      </c>
      <c r="D165" s="328" t="n">
        <v>0.0508000000000000007</v>
      </c>
      <c r="E165" s="329" t="n">
        <v>0</v>
      </c>
      <c r="F165" s="246" t="n">
        <v>0.220000000000000018</v>
      </c>
      <c r="G165" s="330" t="s">
        <v>557</v>
      </c>
    </row>
    <row r="166" spans="1:7">
      <c r="A166" s="309" t="s">
        <v>737</v>
      </c>
      <c r="B166" s="327" t="s">
        <v>569</v>
      </c>
      <c r="C166" s="258" t="n">
        <v>0</v>
      </c>
      <c r="D166" s="328" t="n">
        <v>0.0508000000000000007</v>
      </c>
      <c r="E166" s="329" t="n">
        <v>0</v>
      </c>
      <c r="F166" s="246" t="n">
        <v>0.177699999999999996</v>
      </c>
      <c r="G166" s="330" t="s">
        <v>557</v>
      </c>
    </row>
    <row r="167" spans="1:7">
      <c r="A167" s="309" t="s">
        <v>738</v>
      </c>
      <c r="B167" s="327" t="s">
        <v>457</v>
      </c>
      <c r="C167" s="258" t="n">
        <v>0.179999999999999964</v>
      </c>
      <c r="D167" s="331" t="n">
        <v>0.253178384186541283</v>
      </c>
      <c r="E167" s="329" t="n">
        <v>0.202378384186541282</v>
      </c>
      <c r="F167" s="258" t="n">
        <v>0.280000000000000036</v>
      </c>
      <c r="G167" s="330" t="s">
        <v>549</v>
      </c>
    </row>
    <row r="168" spans="1:7">
      <c r="A168" s="309" t="s">
        <v>739</v>
      </c>
      <c r="B168" s="327" t="s">
        <v>586</v>
      </c>
      <c r="C168" s="258" t="n">
        <v>0.00619766040024019915</v>
      </c>
      <c r="D168" s="328" t="n">
        <v>0.057768180541875136</v>
      </c>
      <c r="E168" s="329" t="n">
        <v>0.00696818054187513525</v>
      </c>
      <c r="F168" s="246" t="n">
        <v>0.170000000000000018</v>
      </c>
      <c r="G168" s="330" t="s">
        <v>580</v>
      </c>
    </row>
    <row r="169" spans="1:7">
      <c r="A169" s="309" t="s">
        <v>740</v>
      </c>
      <c r="B169" s="327" t="s">
        <v>588</v>
      </c>
      <c r="C169" s="258" t="n">
        <v>0.0256231631472617183</v>
      </c>
      <c r="D169" s="328" t="n">
        <v>0.0796087464193942029</v>
      </c>
      <c r="E169" s="329" t="n">
        <v>0.0288087464193942289</v>
      </c>
      <c r="F169" s="246" t="n">
        <v>0</v>
      </c>
      <c r="G169" s="268" t="s">
        <v>552</v>
      </c>
    </row>
    <row r="170" spans="1:7">
      <c r="A170" s="309" t="s">
        <v>741</v>
      </c>
      <c r="B170" s="327" t="s">
        <v>457</v>
      </c>
      <c r="C170" s="258" t="n">
        <v>0.0666999999999999815</v>
      </c>
      <c r="D170" s="331" t="n">
        <v>0.12579243458467948</v>
      </c>
      <c r="E170" s="329" t="n">
        <v>0.0749924345846794793</v>
      </c>
      <c r="F170" s="258" t="n">
        <v>0.3</v>
      </c>
      <c r="G170" s="268" t="s">
        <v>554</v>
      </c>
    </row>
    <row r="171" spans="1:7">
      <c r="A171" s="309" t="s">
        <v>742</v>
      </c>
      <c r="B171" s="327" t="s">
        <v>567</v>
      </c>
      <c r="C171" s="258" t="n">
        <v>0.0163729237439181396</v>
      </c>
      <c r="D171" s="328" t="n">
        <v>0.0692084769539089617</v>
      </c>
      <c r="E171" s="329" t="n">
        <v>0.018408476953908945</v>
      </c>
      <c r="F171" s="246" t="n">
        <v>0.2</v>
      </c>
      <c r="G171" s="268" t="s">
        <v>580</v>
      </c>
    </row>
    <row r="172" spans="1:7">
      <c r="A172" s="309" t="s">
        <v>743</v>
      </c>
      <c r="B172" s="327" t="s">
        <v>457</v>
      </c>
      <c r="C172" s="258" t="n">
        <v>0.0768999999999999684</v>
      </c>
      <c r="D172" s="331" t="n">
        <v>0.137260543021916792</v>
      </c>
      <c r="E172" s="329" t="n">
        <v>0.0864605430219168092</v>
      </c>
      <c r="F172" s="258" t="n">
        <v>0.286699999999999999</v>
      </c>
      <c r="G172" s="268" t="s">
        <v>554</v>
      </c>
    </row>
    <row r="173" spans="1:7">
      <c r="A173" s="318" t="s">
        <v>744</v>
      </c>
      <c r="B173" s="327" t="s">
        <v>641</v>
      </c>
      <c r="C173" s="258" t="n">
        <v>0.0256231631472617183</v>
      </c>
      <c r="D173" s="328" t="n">
        <v>0.0796087464193942029</v>
      </c>
      <c r="E173" s="329" t="n">
        <v>0.0288087464193942289</v>
      </c>
      <c r="F173" s="246" t="n">
        <v>0.25</v>
      </c>
      <c r="G173" s="268" t="s">
        <v>561</v>
      </c>
    </row>
    <row r="174" spans="1:7">
      <c r="A174" s="309" t="s">
        <v>745</v>
      </c>
      <c r="B174" s="327" t="s">
        <v>551</v>
      </c>
      <c r="C174" s="258" t="n">
        <v>0.0461586946226844841</v>
      </c>
      <c r="D174" s="328" t="n">
        <v>0.102697344632771559</v>
      </c>
      <c r="E174" s="329" t="n">
        <v>0.0518973446327715227</v>
      </c>
      <c r="F174" s="246" t="n">
        <v>0.25</v>
      </c>
      <c r="G174" s="268" t="s">
        <v>554</v>
      </c>
    </row>
    <row r="175" spans="1:7">
      <c r="A175" s="309" t="s">
        <v>746</v>
      </c>
      <c r="B175" s="327" t="s">
        <v>641</v>
      </c>
      <c r="C175" s="258" t="n">
        <v>0.0256231631472617183</v>
      </c>
      <c r="D175" s="328" t="n">
        <v>0.0796087464193942029</v>
      </c>
      <c r="E175" s="329" t="n">
        <v>0.0288087464193942289</v>
      </c>
      <c r="F175" s="246" t="n">
        <v>0.2</v>
      </c>
      <c r="G175" s="268" t="s">
        <v>557</v>
      </c>
    </row>
    <row r="176" spans="1:7">
      <c r="A176" s="318" t="s">
        <v>747</v>
      </c>
      <c r="B176" s="327" t="s">
        <v>567</v>
      </c>
      <c r="C176" s="258" t="n">
        <v>0.0163729237439181396</v>
      </c>
      <c r="D176" s="328" t="n">
        <v>0.0692084769539089617</v>
      </c>
      <c r="E176" s="329" t="n">
        <v>0.018408476953908945</v>
      </c>
      <c r="F176" s="246" t="n">
        <v>0</v>
      </c>
      <c r="G176" s="268" t="s">
        <v>561</v>
      </c>
    </row>
    <row r="177" spans="1:7">
      <c r="A177" s="309" t="s">
        <v>748</v>
      </c>
      <c r="B177" s="327" t="s">
        <v>559</v>
      </c>
      <c r="C177" s="258" t="n">
        <v>0.056426460360395847</v>
      </c>
      <c r="D177" s="328" t="n">
        <v>0.114241643739460197</v>
      </c>
      <c r="E177" s="329" t="n">
        <v>0.0634416437394602006</v>
      </c>
      <c r="F177" s="246" t="n">
        <v>0.3</v>
      </c>
      <c r="G177" s="268" t="s">
        <v>554</v>
      </c>
    </row>
    <row r="178" spans="1:7">
      <c r="A178" s="309" t="s">
        <v>749</v>
      </c>
      <c r="B178" s="327" t="s">
        <v>613</v>
      </c>
      <c r="C178" s="258" t="n">
        <v>0.0923173892453689682</v>
      </c>
      <c r="D178" s="328" t="n">
        <v>0.154594689265543073</v>
      </c>
      <c r="E178" s="329" t="n">
        <v>0.103794689265543072</v>
      </c>
      <c r="F178" s="246" t="n">
        <v>0.179999999999999964</v>
      </c>
      <c r="G178" s="268" t="s">
        <v>552</v>
      </c>
    </row>
    <row r="179" spans="1:7">
      <c r="A179" s="309" t="s">
        <v>750</v>
      </c>
      <c r="B179" s="327" t="s">
        <v>548</v>
      </c>
      <c r="C179" s="258" t="n">
        <v>0.00508763167183896847</v>
      </c>
      <c r="D179" s="328" t="n">
        <v>0.0565201482060168914</v>
      </c>
      <c r="E179" s="329" t="n">
        <v>0.00572014820601690399</v>
      </c>
      <c r="F179" s="246" t="n">
        <v>0.55</v>
      </c>
      <c r="G179" s="268" t="s">
        <v>549</v>
      </c>
    </row>
    <row r="180" spans="1:7">
      <c r="A180" s="309" t="s">
        <v>335</v>
      </c>
      <c r="B180" s="327" t="s">
        <v>548</v>
      </c>
      <c r="C180" s="258" t="n">
        <v>0.00508763167183896847</v>
      </c>
      <c r="D180" s="328" t="n">
        <v>0.0565201482060168914</v>
      </c>
      <c r="E180" s="329" t="n">
        <v>0.00572014820601690399</v>
      </c>
      <c r="F180" s="246" t="n">
        <v>0.2</v>
      </c>
      <c r="G180" s="268" t="s">
        <v>557</v>
      </c>
    </row>
    <row r="181" spans="1:7">
      <c r="A181" s="309" t="s">
        <v>32</v>
      </c>
      <c r="B181" s="327" t="s">
        <v>569</v>
      </c>
      <c r="C181" s="258" t="n">
        <v>0</v>
      </c>
      <c r="D181" s="328" t="n">
        <v>0.0508000000000000007</v>
      </c>
      <c r="E181" s="329" t="n">
        <v>0</v>
      </c>
      <c r="F181" s="246" t="n">
        <v>0.239999999999999991</v>
      </c>
      <c r="G181" s="268" t="s">
        <v>603</v>
      </c>
    </row>
    <row r="182" spans="1:7">
      <c r="A182" s="309" t="s">
        <v>751</v>
      </c>
      <c r="B182" s="327" t="s">
        <v>556</v>
      </c>
      <c r="C182" s="258" t="n">
        <v>0.019518005141054962</v>
      </c>
      <c r="D182" s="328" t="n">
        <v>0.0727445685721739377</v>
      </c>
      <c r="E182" s="329" t="n">
        <v>0.021944568572173937</v>
      </c>
      <c r="F182" s="246" t="n">
        <v>0.25</v>
      </c>
      <c r="G182" s="268" t="s">
        <v>564</v>
      </c>
    </row>
    <row r="183" spans="1:7">
      <c r="A183" s="309" t="s">
        <v>752</v>
      </c>
      <c r="B183" s="327" t="s">
        <v>582</v>
      </c>
      <c r="C183" s="258" t="n">
        <v>0.102492652589046873</v>
      </c>
      <c r="D183" s="328" t="n">
        <v>0.166034985677576907</v>
      </c>
      <c r="E183" s="329" t="n">
        <v>0.115234985677576907</v>
      </c>
      <c r="F183" s="246" t="n">
        <v>0.34000000000000008</v>
      </c>
      <c r="G183" s="268" t="s">
        <v>564</v>
      </c>
    </row>
    <row r="184" spans="1:7">
      <c r="A184" s="309" t="s">
        <v>753</v>
      </c>
      <c r="B184" s="327" t="s">
        <v>551</v>
      </c>
      <c r="C184" s="258" t="n">
        <v>0.0461586946226844841</v>
      </c>
      <c r="D184" s="328" t="n">
        <v>0.102697344632771559</v>
      </c>
      <c r="E184" s="329" t="n">
        <v>0.0518973446327715227</v>
      </c>
      <c r="F184" s="246" t="n">
        <v>0.2</v>
      </c>
      <c r="G184" s="268" t="s">
        <v>580</v>
      </c>
    </row>
    <row r="185" spans="1:7">
      <c r="A185" s="309" t="s">
        <v>754</v>
      </c>
      <c r="B185" s="327" t="s">
        <v>457</v>
      </c>
      <c r="C185" s="258" t="n">
        <v>0.179999999999999964</v>
      </c>
      <c r="D185" s="331" t="n">
        <v>0.253178384186541283</v>
      </c>
      <c r="E185" s="329" t="n">
        <v>0.202378384186541282</v>
      </c>
      <c r="F185" s="258" t="n">
        <v>0.2</v>
      </c>
      <c r="G185" s="268" t="s">
        <v>554</v>
      </c>
    </row>
    <row r="186" spans="1:7">
      <c r="A186" s="309" t="s">
        <v>755</v>
      </c>
      <c r="B186" s="327" t="s">
        <v>588</v>
      </c>
      <c r="C186" s="258" t="n">
        <v>0.0666942260981072099</v>
      </c>
      <c r="D186" s="328" t="n">
        <v>0.125785942846148835</v>
      </c>
      <c r="E186" s="329" t="n">
        <v>0.0749859428461488431</v>
      </c>
      <c r="F186" s="246" t="n">
        <v>0.35</v>
      </c>
      <c r="G186" s="268" t="s">
        <v>554</v>
      </c>
    </row>
    <row r="187" spans="1:7">
      <c r="A187" s="309" t="s">
        <v>756</v>
      </c>
      <c r="B187" s="327" t="s">
        <v>457</v>
      </c>
      <c r="C187" s="258" t="n">
        <v>0.0922999999999999865</v>
      </c>
      <c r="D187" s="331" t="n">
        <v>0.154575138113432047</v>
      </c>
      <c r="E187" s="329" t="n">
        <v>0.103775138113432019</v>
      </c>
      <c r="F187" s="258" t="n">
        <v>0.25</v>
      </c>
      <c r="G187" s="268" t="s">
        <v>554</v>
      </c>
    </row>
    <row r="190" spans="1:4">
      <c r="A190" s="224"/>
      <c r="B190" s="332" t="s">
        <v>326</v>
      </c>
      <c r="C190" s="332" t="s">
        <v>757</v>
      </c>
      <c r="D190" s="332" t="s">
        <v>128</v>
      </c>
    </row>
    <row r="191" spans="1:4">
      <c r="A191" s="4" t="s">
        <v>758</v>
      </c>
      <c r="B191" s="6" t="n">
        <v>0.0810973573193415476</v>
      </c>
      <c r="C191" s="6" t="n">
        <v>0.0269471679962358035</v>
      </c>
      <c r="D191" s="6" t="n">
        <v>0.232559909789639674</v>
      </c>
    </row>
    <row r="192" spans="1:4">
      <c r="A192" s="4" t="s">
        <v>759</v>
      </c>
      <c r="B192" s="6" t="n">
        <v>0.0508213236594337658</v>
      </c>
      <c r="C192" s="6" t="n">
        <v>0.0000189657542405441966</v>
      </c>
      <c r="D192" s="6" t="n">
        <v>0.280277345020629696</v>
      </c>
    </row>
    <row r="193" spans="1:4">
      <c r="A193" s="4" t="s">
        <v>760</v>
      </c>
      <c r="B193" s="6" t="n">
        <v>0.0875049409395326272</v>
      </c>
      <c r="C193" s="6" t="n">
        <v>0.0200032939596884018</v>
      </c>
      <c r="D193" s="6" t="n">
        <v>0.27150000000000003</v>
      </c>
    </row>
    <row r="194" spans="1:4">
      <c r="A194" s="4" t="s">
        <v>336</v>
      </c>
      <c r="B194" s="6" t="n">
        <v>0.0589122101830785194</v>
      </c>
      <c r="C194" s="6" t="n">
        <v>0.0072151867346079932</v>
      </c>
      <c r="D194" s="6" t="n">
        <v>0.356400000000000006</v>
      </c>
    </row>
    <row r="195" spans="1:4">
      <c r="A195" s="4" t="s">
        <v>761</v>
      </c>
      <c r="B195" s="6" t="n">
        <v>0.0508000000000000007</v>
      </c>
      <c r="C195" s="6" t="n">
        <v>0</v>
      </c>
      <c r="D195" s="6" t="n">
        <v>0.4</v>
      </c>
    </row>
    <row r="196" spans="1:4">
      <c r="A196" s="4" t="s">
        <v>762</v>
      </c>
      <c r="B196" s="6" t="n">
        <v>0.0600581300256452533</v>
      </c>
      <c r="C196" s="6" t="n">
        <v>0.00823439425764014388</v>
      </c>
      <c r="D196" s="6" t="n">
        <v>0.3</v>
      </c>
    </row>
    <row r="197" spans="1:4">
      <c r="A197" s="4" t="s">
        <v>763</v>
      </c>
      <c r="B197" s="6" t="n">
        <v>0.0714100100784736824</v>
      </c>
      <c r="C197" s="6" t="n">
        <v>0.00927334005231578296</v>
      </c>
      <c r="D197" s="6" t="n">
        <v>0.25</v>
      </c>
    </row>
    <row r="198" spans="1:4">
      <c r="A198" s="4" t="s">
        <v>764</v>
      </c>
      <c r="B198" s="6" t="n">
        <v>0.0692637976574063696</v>
      </c>
      <c r="C198" s="6" t="n">
        <v>0.00784253177160423309</v>
      </c>
      <c r="D198" s="6" t="n">
        <v>0.2</v>
      </c>
    </row>
    <row r="199" spans="1:4">
      <c r="A199" s="4" t="s">
        <v>603</v>
      </c>
      <c r="B199" s="6" t="n">
        <v>0.0508000000000000007</v>
      </c>
      <c r="C199" s="6" t="n">
        <v>0</v>
      </c>
      <c r="D199" s="6" t="n">
        <v>0.265000000000000036</v>
      </c>
    </row>
    <row r="201" spans="1:4">
      <c r="A201" s="4" t="s">
        <v>765</v>
      </c>
      <c r="B201" s="6" t="n">
        <v>0.0620999999999999996</v>
      </c>
      <c r="C201" s="6" t="n">
        <v>0.01</v>
      </c>
      <c r="D201" s="6" t="n">
        <v>0.3</v>
      </c>
    </row>
  </sheetData>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headerFooter>
    <extLst>
      <ext uri="smNativeData">
        <pm:header xmlns:pm="smNativeData" id="1696577006" l="56" r="56" t="56" b="56" borderId="0" fillId="0" vertical="0"/>
        <pm:footer xmlns:pm="smNativeData" id="1696577006" l="56" r="56" t="56" b="56" borderId="0" fillId="0" vertical="2"/>
      </ext>
    </extLst>
  </headerFooter>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15.xml><?xml version="1.0" encoding="utf-8"?>
<worksheet xmlns="http://schemas.openxmlformats.org/spreadsheetml/2006/main" xmlns:r="http://schemas.openxmlformats.org/officeDocument/2006/relationships" xmlns:mc="http://schemas.openxmlformats.org/markup-compatibility/2006">
  <dimension ref="A1:E32"/>
  <sheetViews>
    <sheetView view="normal" zoomScale="125" workbookViewId="0">
      <selection activeCell="I14" sqref="I14"/>
    </sheetView>
  </sheetViews>
  <sheetFormatPr baseColWidth="10" defaultColWidth="11.500000" defaultRowHeight="11.50"/>
  <cols>
    <col min="1" max="1" width="34.000000" customWidth="1"/>
    <col min="2" max="2" width="16.000000" customWidth="1" style="156"/>
    <col min="3" max="3" width="21.444444" customWidth="1" style="156"/>
    <col min="4" max="4" width="24.111111" customWidth="1" style="156"/>
    <col min="5" max="5" width="14.166667" customWidth="1"/>
  </cols>
  <sheetData>
    <row r="1" spans="2:5">
      <c r="B1" s="138" t="s">
        <v>36</v>
      </c>
      <c r="C1" s="138" t="s">
        <v>766</v>
      </c>
      <c r="D1" s="138" t="s">
        <v>767</v>
      </c>
      <c r="E1" s="138" t="s">
        <v>768</v>
      </c>
    </row>
    <row r="2" spans="1:5">
      <c r="A2" s="57" t="s">
        <v>38</v>
      </c>
      <c r="B2" s="175" t="n">
        <v>215639</v>
      </c>
      <c r="C2" s="175" t="n">
        <v>75872</v>
      </c>
      <c r="D2" s="175" t="n">
        <v>78351</v>
      </c>
      <c r="E2" s="176">
        <f>B2-C2+D2</f>
        <v>218118</v>
      </c>
    </row>
    <row r="3" spans="1:5">
      <c r="A3" s="57" t="s">
        <v>769</v>
      </c>
      <c r="B3" s="175" t="n">
        <v>10045</v>
      </c>
      <c r="C3" s="175" t="n">
        <v>2404</v>
      </c>
      <c r="D3" s="175" t="n">
        <v>2871</v>
      </c>
      <c r="E3" s="176">
        <f>B3-C3+D3</f>
        <v>10512</v>
      </c>
    </row>
    <row r="4" spans="1:5">
      <c r="A4" s="57" t="s">
        <v>39</v>
      </c>
      <c r="B4" s="175" t="n">
        <v>60024</v>
      </c>
      <c r="C4" s="175" t="n">
        <v>24171</v>
      </c>
      <c r="D4" s="175" t="n">
        <v>23359</v>
      </c>
      <c r="E4" s="176">
        <f>B4-C4+D4</f>
        <v>59212</v>
      </c>
    </row>
    <row r="5" spans="1:5">
      <c r="A5" s="57" t="s">
        <v>770</v>
      </c>
      <c r="B5" s="175" t="n">
        <v>1456</v>
      </c>
      <c r="C5" s="175" t="n">
        <v>276</v>
      </c>
      <c r="D5" s="175" t="n">
        <v>525</v>
      </c>
      <c r="E5" s="176">
        <f>B5-C5+D5</f>
        <v>1705</v>
      </c>
    </row>
    <row r="6" spans="1:5">
      <c r="A6" s="57" t="s">
        <v>41</v>
      </c>
      <c r="B6" s="175" t="n">
        <v>128249</v>
      </c>
      <c r="C6" s="175"/>
      <c r="D6" s="175" t="n">
        <v>132390</v>
      </c>
      <c r="E6" s="176"/>
    </row>
    <row r="7" spans="1:5">
      <c r="A7" s="57" t="s">
        <v>42</v>
      </c>
      <c r="B7" s="175">
        <f>75427+8105+3500</f>
        <v>87032</v>
      </c>
      <c r="C7" s="175"/>
      <c r="D7" s="175">
        <f>10493+3499+73557</f>
        <v>87549</v>
      </c>
      <c r="E7" s="176"/>
    </row>
    <row r="8" spans="1:5">
      <c r="A8" s="57" t="s">
        <v>46</v>
      </c>
      <c r="B8" s="175"/>
      <c r="C8" s="175"/>
      <c r="D8" s="175"/>
      <c r="E8" s="176"/>
    </row>
    <row r="9" spans="1:5">
      <c r="A9" s="57" t="s">
        <v>771</v>
      </c>
      <c r="B9" s="175">
        <f>20484+46671+170430</f>
        <v>237585</v>
      </c>
      <c r="C9" s="175"/>
      <c r="D9" s="175">
        <f>16371+44081+184638</f>
        <v>245090</v>
      </c>
      <c r="E9" s="176"/>
    </row>
    <row r="10" spans="1:5">
      <c r="A10" s="57" t="s">
        <v>772</v>
      </c>
      <c r="B10" s="175" t="n">
        <v>0</v>
      </c>
      <c r="C10" s="175"/>
      <c r="D10" s="175" t="n">
        <v>0</v>
      </c>
      <c r="E10" s="176"/>
    </row>
    <row r="11" spans="1:5">
      <c r="A11" s="57" t="s">
        <v>50</v>
      </c>
      <c r="B11" s="175" t="n">
        <v>0</v>
      </c>
      <c r="C11" s="175"/>
      <c r="D11" s="175" t="n">
        <v>0</v>
      </c>
      <c r="E11" s="176"/>
    </row>
    <row r="12" spans="1:5">
      <c r="A12" s="57" t="s">
        <v>51</v>
      </c>
      <c r="B12" s="175"/>
      <c r="C12" s="175"/>
      <c r="D12" s="175"/>
      <c r="E12" s="176"/>
    </row>
    <row r="13" spans="1:5">
      <c r="A13" s="57" t="s">
        <v>52</v>
      </c>
      <c r="B13" s="177"/>
      <c r="C13" s="175"/>
      <c r="D13" s="175"/>
      <c r="E13" s="176"/>
    </row>
    <row r="14" spans="1:5">
      <c r="A14" s="57" t="s">
        <v>54</v>
      </c>
      <c r="B14" s="157">
        <f>15885/61372</f>
        <v>0.258831388906992998</v>
      </c>
      <c r="C14" s="157">
        <f>6392/24416</f>
        <v>0.261795543905635952</v>
      </c>
      <c r="D14" s="157">
        <f>6289/24180</f>
        <v>0.260090984284532967</v>
      </c>
      <c r="E14" s="4"/>
    </row>
    <row r="15" spans="1:5">
      <c r="A15" s="57" t="s">
        <v>56</v>
      </c>
      <c r="B15" s="138"/>
      <c r="C15" s="138"/>
      <c r="D15" s="138"/>
      <c r="E15" s="4"/>
    </row>
    <row r="16" spans="1:5" s="5" customFormat="1" ht="12.35">
      <c r="A16" s="68" t="s">
        <v>773</v>
      </c>
      <c r="B16" s="199"/>
      <c r="C16" s="199"/>
      <c r="D16" s="199"/>
      <c r="E16" s="200"/>
    </row>
    <row r="17" spans="1:5">
      <c r="A17" s="54" t="s">
        <v>774</v>
      </c>
      <c r="B17" s="158" t="n">
        <v>929</v>
      </c>
      <c r="C17" s="178"/>
      <c r="D17" s="178" t="s">
        <v>457</v>
      </c>
      <c r="E17" s="179"/>
    </row>
    <row r="18" spans="1:5">
      <c r="A18" s="54" t="s">
        <v>775</v>
      </c>
      <c r="B18" s="158" t="n">
        <v>919</v>
      </c>
      <c r="C18" s="414" t="s">
        <v>776</v>
      </c>
      <c r="D18" s="178" t="s">
        <v>457</v>
      </c>
      <c r="E18" s="179"/>
    </row>
    <row r="19" spans="1:5">
      <c r="A19" s="54" t="s">
        <v>777</v>
      </c>
      <c r="B19" s="158" t="n">
        <v>915</v>
      </c>
      <c r="C19" s="414"/>
      <c r="D19" s="178" t="s">
        <v>457</v>
      </c>
      <c r="E19" s="179"/>
    </row>
    <row r="20" spans="1:5">
      <c r="A20" s="54" t="s">
        <v>778</v>
      </c>
      <c r="B20" s="158" t="n">
        <v>889</v>
      </c>
      <c r="C20" s="414"/>
      <c r="D20" s="178" t="s">
        <v>457</v>
      </c>
      <c r="E20" s="179"/>
    </row>
    <row r="21" spans="1:5">
      <c r="A21" s="54" t="s">
        <v>779</v>
      </c>
      <c r="B21" s="158" t="n">
        <v>836</v>
      </c>
      <c r="C21" s="414"/>
      <c r="D21" s="178" t="s">
        <v>457</v>
      </c>
      <c r="E21" s="179"/>
    </row>
    <row r="22" spans="1:5">
      <c r="A22" s="54" t="s">
        <v>780</v>
      </c>
      <c r="B22" s="158" t="n">
        <v>3139</v>
      </c>
      <c r="C22" s="414"/>
      <c r="D22" s="178" t="s">
        <v>457</v>
      </c>
      <c r="E22" s="179"/>
    </row>
    <row r="23" spans="2:3">
      <c r="B23" s="158"/>
      <c r="C23" s="414"/>
    </row>
    <row r="25" spans="1:2">
      <c r="A25" s="54" t="s">
        <v>781</v>
      </c>
      <c r="B25" s="295" t="n">
        <v>939</v>
      </c>
    </row>
    <row r="29" spans="4:4">
      <c r="D29" s="175" t="n">
        <v>75872</v>
      </c>
    </row>
    <row r="30" spans="4:4">
      <c r="D30" s="175" t="n">
        <v>2404</v>
      </c>
    </row>
    <row r="31" spans="4:4">
      <c r="D31" s="175" t="n">
        <v>24171</v>
      </c>
    </row>
    <row r="32" spans="4:4">
      <c r="D32" s="175" t="n">
        <v>276</v>
      </c>
    </row>
  </sheetData>
  <mergeCells count="1">
    <mergeCell ref="C18:C23"/>
  </mergeCells>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headerFooter>
    <extLst>
      <ext uri="smNativeData">
        <pm:header xmlns:pm="smNativeData" id="1696577006" l="56" r="56" t="56" b="56" borderId="0" fillId="0" vertical="0"/>
        <pm:footer xmlns:pm="smNativeData" id="1696577006" l="56" r="56" t="56" b="56" borderId="0" fillId="0" vertical="2"/>
      </ext>
    </extLst>
  </headerFooter>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xl/worksheets/sheet16.xml><?xml version="1.0" encoding="utf-8"?>
<worksheet xmlns="http://schemas.openxmlformats.org/spreadsheetml/2006/main" xmlns:r="http://schemas.openxmlformats.org/officeDocument/2006/relationships" xmlns:mc="http://schemas.openxmlformats.org/markup-compatibility/2006">
  <dimension ref="A1:F6"/>
  <sheetViews>
    <sheetView view="normal" zoomScale="125" workbookViewId="0">
      <selection activeCell="J13" sqref="J13"/>
    </sheetView>
  </sheetViews>
  <sheetFormatPr baseColWidth="10" defaultColWidth="11.500000" defaultRowHeight="11.50"/>
  <cols>
    <col min="1" max="1" width="7.111111" customWidth="1"/>
    <col min="2" max="2" width="19.055556" customWidth="1"/>
    <col min="3" max="3" width="21.000000" customWidth="1"/>
    <col min="5" max="5" width="13.722222" customWidth="1"/>
    <col min="6" max="6" width="20.500000" customWidth="1"/>
  </cols>
  <sheetData>
    <row r="1" spans="1:6">
      <c r="A1" t="s">
        <v>782</v>
      </c>
      <c r="B1" t="s">
        <v>783</v>
      </c>
      <c r="C1" t="s">
        <v>784</v>
      </c>
      <c r="D1" t="s">
        <v>785</v>
      </c>
      <c r="E1" t="s">
        <v>355</v>
      </c>
      <c r="F1" t="s">
        <v>213</v>
      </c>
    </row>
    <row r="2" spans="1:6">
      <c r="A2" t="s">
        <v>44</v>
      </c>
      <c r="B2" t="s">
        <v>786</v>
      </c>
      <c r="C2" t="s">
        <v>787</v>
      </c>
      <c r="D2" t="s">
        <v>788</v>
      </c>
      <c r="E2" t="n">
        <v>1</v>
      </c>
      <c r="F2" t="s">
        <v>788</v>
      </c>
    </row>
    <row r="3" spans="1:6">
      <c r="A3" t="s">
        <v>82</v>
      </c>
      <c r="B3" t="s">
        <v>105</v>
      </c>
      <c r="C3" t="s">
        <v>31</v>
      </c>
      <c r="D3" t="s">
        <v>355</v>
      </c>
      <c r="E3" t="n">
        <v>2</v>
      </c>
      <c r="F3" t="s">
        <v>789</v>
      </c>
    </row>
    <row r="4" spans="3:6">
      <c r="C4" t="s">
        <v>343</v>
      </c>
      <c r="D4" t="s">
        <v>790</v>
      </c>
      <c r="F4" t="s">
        <v>791</v>
      </c>
    </row>
    <row r="5" spans="3:6">
      <c r="C5" t="s">
        <v>792</v>
      </c>
      <c r="F5" t="s">
        <v>793</v>
      </c>
    </row>
    <row r="6" spans="6:6">
      <c r="F6" t="s">
        <v>338</v>
      </c>
    </row>
  </sheetData>
  <printOptions>
    <extLst>
      <ext uri="smNativeData">
        <pm:pageFlags xmlns:pm="smNativeData" id="1696577006" printRowHead="0" printColHead="0" printHeadLine="0" printFootLine="0" autoHeightHeader="0" autoHeightFooter="0" fitToPageBoth="0"/>
      </ext>
    </extLst>
  </printOptions>
  <pageMargins left="0.750000" right="0.750000" top="1.000000" bottom="1.000000" header="0.500000" footer="0.500000"/>
  <pageSetup paperSize="1" fitToWidth="0" fitToHeight="1" pageOrder="overThenDown"/>
  <headerFooter>
    <extLst>
      <ext uri="smNativeData">
        <pm:header xmlns:pm="smNativeData" id="1696577006" l="56" r="56" t="56" b="56" borderId="0" fillId="0" vertical="0"/>
        <pm:footer xmlns:pm="smNativeData" id="1696577006" l="56" r="56" t="56" b="56" borderId="0" fillId="0" vertical="2"/>
      </ext>
    </extLst>
  </headerFooter>
  <extLst>
    <ext uri="smNativeData">
      <pm:sheetPrefs xmlns:pm="smNativeData" day="169657700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Aswath Damodaran</dc:creator>
  <cp:keywords/>
  <dc:description/>
  <cp:lastModifiedBy>dnl</cp:lastModifiedBy>
  <cp:revision>0</cp:revision>
  <cp:lastPrinted>2011-01-17T15:04:26Z</cp:lastPrinted>
  <dcterms:created xsi:type="dcterms:W3CDTF">2000-02-22T13:53:50Z</dcterms:created>
  <dcterms:modified xsi:type="dcterms:W3CDTF">2023-10-06T07:23:26Z</dcterms:modified>
</cp:coreProperties>
</file>