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09"/>
  <workbookPr date1904="1" codeName="ThisWorkbook"/>
  <mc:AlternateContent xmlns:mc="http://schemas.openxmlformats.org/markup-compatibility/2006">
    <mc:Choice Requires="x15">
      <x15ac:absPath xmlns:x15ac="http://schemas.microsoft.com/office/spreadsheetml/2010/11/ac" url="/All My Stuff/Home Page 2002/pc/blog/"/>
    </mc:Choice>
  </mc:AlternateContent>
  <xr:revisionPtr revIDLastSave="0" documentId="13_ncr:1_{74B2DD3E-5DB9-1345-9F90-9189953A592C}" xr6:coauthVersionLast="37" xr6:coauthVersionMax="37" xr10:uidLastSave="{00000000-0000-0000-0000-000000000000}"/>
  <bookViews>
    <workbookView xWindow="3400" yWindow="460" windowWidth="30200" windowHeight="19540" tabRatio="772" activeTab="3" xr2:uid="{00000000-000D-0000-FFFF-FFFF00000000}"/>
  </bookViews>
  <sheets>
    <sheet name="CB_DATA_" sheetId="30" state="veryHidden" r:id="rId1"/>
    <sheet name="Input sheet" sheetId="11" r:id="rId2"/>
    <sheet name="Valuation output" sheetId="13" r:id="rId3"/>
    <sheet name="Stories to Numbers" sheetId="28" r:id="rId4"/>
    <sheet name="Summary Sheet" sheetId="29" r:id="rId5"/>
    <sheet name="Option value" sheetId="14" r:id="rId6"/>
    <sheet name="Diagnostics" sheetId="12" r:id="rId7"/>
    <sheet name="R&amp; D converter" sheetId="25" r:id="rId8"/>
    <sheet name="Operating lease converter" sheetId="18" r:id="rId9"/>
    <sheet name="Cost of capital worksheet" sheetId="19" r:id="rId10"/>
    <sheet name="Synthetic rating" sheetId="20" r:id="rId11"/>
    <sheet name="Industry Averages(US)" sheetId="8" r:id="rId12"/>
    <sheet name="Global industry averages" sheetId="26" r:id="rId13"/>
    <sheet name="Country equity risk premiums" sheetId="23" r:id="rId14"/>
    <sheet name="Trailing 12 month" sheetId="24" r:id="rId15"/>
    <sheet name="Answer keys" sheetId="21" r:id="rId16"/>
  </sheets>
  <definedNames>
    <definedName name="CB_02fb7351666d45d8bca28f2efd572a6b" localSheetId="1" hidden="1">'Input sheet'!$B$24</definedName>
    <definedName name="CB_2565313a0871403fb53ffc682c34d71b" localSheetId="1" hidden="1">'Input sheet'!$B$29</definedName>
    <definedName name="CB_62e99b5c4ed9483f8023bd06aa9304a5" localSheetId="1" hidden="1">'Input sheet'!$B$23</definedName>
    <definedName name="CB_Block_00000000000000000000000000000000" localSheetId="1" hidden="1">"'7.0.0.0"</definedName>
    <definedName name="CB_Block_00000000000000000000000000000000" localSheetId="2" hidden="1">"'7.0.0.0"</definedName>
    <definedName name="CB_Block_00000000000000000000000000000001" localSheetId="0" hidden="1">"'636728067925474621"</definedName>
    <definedName name="CB_Block_00000000000000000000000000000001" localSheetId="1" hidden="1">"'636728067924380985"</definedName>
    <definedName name="CB_Block_00000000000000000000000000000001" localSheetId="2" hidden="1">"'636728067925162136"</definedName>
    <definedName name="CB_Block_00000000000000000000000000000003" localSheetId="1" hidden="1">"'11.1.4716.0"</definedName>
    <definedName name="CB_Block_00000000000000000000000000000003" localSheetId="2" hidden="1">"'11.1.4716.0"</definedName>
    <definedName name="CB_BlockExt_00000000000000000000000000000003" localSheetId="1" hidden="1">"'11.1.2.4.850"</definedName>
    <definedName name="CB_BlockExt_00000000000000000000000000000003" localSheetId="2" hidden="1">"'11.1.2.4.850"</definedName>
    <definedName name="CB_d72c093ec87e4e16b91724fcf07fe883" localSheetId="2" hidden="1">'Valuation output'!$B$33</definedName>
    <definedName name="CBWorkbookPriority" localSheetId="0" hidden="1">-1232106626683060</definedName>
    <definedName name="CBx_271d6a2b7a934e27808caa1aada6a76d" localSheetId="0" hidden="1">"'CB_DATA_'!$A$1"</definedName>
    <definedName name="CBx_eb12ad88c3be4256b53f793e1373a468" localSheetId="0" hidden="1">"'Input sheet'!$A$1"</definedName>
    <definedName name="CBx_faa3ee019bfb4333b7427cca748c6e20" localSheetId="0" hidden="1">"'Valuation output'!$A$1"</definedName>
    <definedName name="CBx_Sheet_Guid" localSheetId="0" hidden="1">"'271d6a2b-7a93-4e27-808c-aa1aada6a76d"</definedName>
    <definedName name="CBx_Sheet_Guid" localSheetId="1" hidden="1">"'eb12ad88-c3be-4256-b53f-793e1373a468"</definedName>
    <definedName name="CBx_Sheet_Guid" localSheetId="2" hidden="1">"'faa3ee01-9bfb-4333-b742-7cca748c6e20"</definedName>
    <definedName name="CBx_SheetRef" localSheetId="0" hidden="1">CB_DATA_!$A$14</definedName>
    <definedName name="CBx_SheetRef" localSheetId="1" hidden="1">CB_DATA_!$B$14</definedName>
    <definedName name="CBx_SheetRef" localSheetId="2" hidden="1">CB_DATA_!$C$14</definedName>
    <definedName name="CBx_StorageType" localSheetId="0" hidden="1">2</definedName>
    <definedName name="CBx_StorageType" localSheetId="1" hidden="1">2</definedName>
    <definedName name="CBx_StorageType" localSheetId="2" hidden="1">2</definedName>
  </definedNames>
  <calcPr calcId="179021" iterate="1"/>
</workbook>
</file>

<file path=xl/calcChain.xml><?xml version="1.0" encoding="utf-8"?>
<calcChain xmlns="http://schemas.openxmlformats.org/spreadsheetml/2006/main">
  <c r="C11" i="30" l="1"/>
  <c r="B11" i="30"/>
  <c r="A11" i="30"/>
  <c r="H51" i="19"/>
  <c r="H50" i="19"/>
  <c r="B20" i="11"/>
  <c r="B6" i="13" s="1"/>
  <c r="B11" i="28" s="1"/>
  <c r="C11" i="28" s="1"/>
  <c r="I27" i="19"/>
  <c r="G27" i="19"/>
  <c r="I26" i="19"/>
  <c r="I25" i="19"/>
  <c r="I24" i="19"/>
  <c r="I23" i="19"/>
  <c r="I22" i="19"/>
  <c r="I21" i="19"/>
  <c r="I20" i="19"/>
  <c r="G26" i="19"/>
  <c r="G25" i="19"/>
  <c r="G24" i="19"/>
  <c r="G23" i="19"/>
  <c r="G22" i="19"/>
  <c r="G21" i="19"/>
  <c r="G20" i="19"/>
  <c r="D12" i="20"/>
  <c r="I19" i="19"/>
  <c r="G19" i="19"/>
  <c r="I13" i="19"/>
  <c r="I12" i="19"/>
  <c r="I11" i="19"/>
  <c r="I10" i="19"/>
  <c r="I9" i="19"/>
  <c r="I8" i="19"/>
  <c r="I7" i="19"/>
  <c r="I6" i="19"/>
  <c r="I5" i="19"/>
  <c r="I4" i="19"/>
  <c r="I3" i="19"/>
  <c r="A25" i="29"/>
  <c r="A37" i="29"/>
  <c r="A49" i="29"/>
  <c r="A24" i="29"/>
  <c r="A36" i="29"/>
  <c r="A48" i="29" s="1"/>
  <c r="A23" i="29"/>
  <c r="A35" i="29" s="1"/>
  <c r="A47" i="29"/>
  <c r="A22" i="29"/>
  <c r="A34" i="29" s="1"/>
  <c r="A46" i="29" s="1"/>
  <c r="A21" i="29"/>
  <c r="A33" i="29" s="1"/>
  <c r="A45" i="29" s="1"/>
  <c r="A20" i="29"/>
  <c r="A32" i="29"/>
  <c r="A44" i="29" s="1"/>
  <c r="A19" i="29"/>
  <c r="A31" i="29" s="1"/>
  <c r="A43" i="29" s="1"/>
  <c r="A18" i="29"/>
  <c r="A30" i="29"/>
  <c r="A42" i="29" s="1"/>
  <c r="A17" i="29"/>
  <c r="A29" i="29"/>
  <c r="A41" i="29"/>
  <c r="A16" i="29"/>
  <c r="A28" i="29"/>
  <c r="A40" i="29" s="1"/>
  <c r="B3" i="13"/>
  <c r="B9" i="28" s="1"/>
  <c r="C2" i="13"/>
  <c r="C3" i="29" s="1"/>
  <c r="M2" i="13"/>
  <c r="J24" i="11"/>
  <c r="A15" i="29"/>
  <c r="J23" i="11"/>
  <c r="B10" i="13"/>
  <c r="F2" i="29" s="1"/>
  <c r="B10" i="19"/>
  <c r="K24" i="11"/>
  <c r="J13" i="19"/>
  <c r="K13" i="19" s="1"/>
  <c r="J12" i="19"/>
  <c r="K12" i="19"/>
  <c r="H20" i="19"/>
  <c r="H30" i="19" s="1"/>
  <c r="D14" i="24"/>
  <c r="D7" i="24"/>
  <c r="D9" i="24"/>
  <c r="B14" i="24"/>
  <c r="B9" i="24"/>
  <c r="B7" i="24"/>
  <c r="B22" i="13"/>
  <c r="G33" i="28" s="1"/>
  <c r="G39" i="28"/>
  <c r="E2" i="24"/>
  <c r="E4" i="24"/>
  <c r="B22" i="18"/>
  <c r="A22" i="18"/>
  <c r="B23" i="18"/>
  <c r="A23" i="18"/>
  <c r="B24" i="18"/>
  <c r="A24" i="18"/>
  <c r="B25" i="18"/>
  <c r="A25" i="18"/>
  <c r="B26" i="18"/>
  <c r="A26" i="18"/>
  <c r="D18" i="18"/>
  <c r="B27" i="18" s="1"/>
  <c r="E3" i="24"/>
  <c r="A25" i="25"/>
  <c r="E25" i="25" s="1"/>
  <c r="C25" i="25"/>
  <c r="D25" i="25" s="1"/>
  <c r="B25" i="25"/>
  <c r="A12" i="25"/>
  <c r="A13" i="25"/>
  <c r="B26" i="25"/>
  <c r="B27" i="25"/>
  <c r="B24" i="25"/>
  <c r="C24" i="25"/>
  <c r="B28" i="25"/>
  <c r="D28" i="25" s="1"/>
  <c r="B29" i="25"/>
  <c r="B30" i="25"/>
  <c r="B31" i="25"/>
  <c r="B32" i="25"/>
  <c r="B33" i="25"/>
  <c r="B34" i="25"/>
  <c r="M12" i="13"/>
  <c r="F14" i="28" s="1"/>
  <c r="D14" i="28" s="1"/>
  <c r="B4" i="19"/>
  <c r="B5" i="19"/>
  <c r="E5" i="24"/>
  <c r="B17" i="19"/>
  <c r="B16" i="19"/>
  <c r="D46" i="19"/>
  <c r="K50" i="19"/>
  <c r="I50" i="19"/>
  <c r="I51" i="19"/>
  <c r="J51" i="19" s="1"/>
  <c r="I52" i="19"/>
  <c r="J52" i="19" s="1"/>
  <c r="I53" i="19"/>
  <c r="J53" i="19"/>
  <c r="I54" i="19"/>
  <c r="J54" i="19"/>
  <c r="I55" i="19"/>
  <c r="J55" i="19" s="1"/>
  <c r="I56" i="19"/>
  <c r="J56" i="19" s="1"/>
  <c r="I57" i="19"/>
  <c r="J57" i="19"/>
  <c r="I58" i="19"/>
  <c r="J58" i="19" s="1"/>
  <c r="I59" i="19"/>
  <c r="J59" i="19" s="1"/>
  <c r="I60" i="19"/>
  <c r="J60" i="19" s="1"/>
  <c r="I61" i="19"/>
  <c r="J61" i="19"/>
  <c r="K51" i="19"/>
  <c r="K52" i="19"/>
  <c r="K53" i="19"/>
  <c r="K54" i="19"/>
  <c r="K55" i="19"/>
  <c r="K56" i="19"/>
  <c r="K57" i="19"/>
  <c r="K58" i="19"/>
  <c r="K59" i="19"/>
  <c r="K60" i="19"/>
  <c r="K61" i="19"/>
  <c r="B24" i="19"/>
  <c r="H16" i="19"/>
  <c r="J5" i="19" s="1"/>
  <c r="K5" i="19" s="1"/>
  <c r="J4" i="19"/>
  <c r="K4" i="19"/>
  <c r="J7" i="19"/>
  <c r="K7" i="19" s="1"/>
  <c r="J8" i="19"/>
  <c r="K8" i="19"/>
  <c r="J9" i="19"/>
  <c r="K9" i="19" s="1"/>
  <c r="J10" i="19"/>
  <c r="K10" i="19"/>
  <c r="J11" i="19"/>
  <c r="K11" i="19" s="1"/>
  <c r="J14" i="19"/>
  <c r="K14" i="19"/>
  <c r="D48" i="19"/>
  <c r="M6" i="13"/>
  <c r="F11" i="28"/>
  <c r="D11" i="28" s="1"/>
  <c r="B26" i="13"/>
  <c r="B27" i="13"/>
  <c r="B28" i="13"/>
  <c r="B32" i="13"/>
  <c r="D38" i="28" s="1"/>
  <c r="C9" i="28"/>
  <c r="A1" i="28"/>
  <c r="F7" i="20"/>
  <c r="I22" i="11"/>
  <c r="C14" i="24"/>
  <c r="I24" i="11"/>
  <c r="B26" i="11" s="1"/>
  <c r="I34" i="19"/>
  <c r="I45" i="19"/>
  <c r="K45" i="19" s="1"/>
  <c r="I44" i="19"/>
  <c r="J44" i="19" s="1"/>
  <c r="I43" i="19"/>
  <c r="K43" i="19"/>
  <c r="I42" i="19"/>
  <c r="J42" i="19" s="1"/>
  <c r="K42" i="19"/>
  <c r="I41" i="19"/>
  <c r="I40" i="19"/>
  <c r="J40" i="19" s="1"/>
  <c r="I39" i="19"/>
  <c r="K39" i="19"/>
  <c r="I38" i="19"/>
  <c r="K38" i="19" s="1"/>
  <c r="I37" i="19"/>
  <c r="I36" i="19"/>
  <c r="J36" i="19" s="1"/>
  <c r="I35" i="19"/>
  <c r="K27" i="11"/>
  <c r="K26" i="11"/>
  <c r="J27" i="11"/>
  <c r="J26" i="11"/>
  <c r="K25" i="11"/>
  <c r="K23" i="11"/>
  <c r="K22" i="11"/>
  <c r="J22" i="11"/>
  <c r="H62" i="19"/>
  <c r="C4" i="20"/>
  <c r="H46" i="19"/>
  <c r="J25" i="11"/>
  <c r="A27" i="18"/>
  <c r="B34" i="13"/>
  <c r="D9" i="14"/>
  <c r="F14" i="14"/>
  <c r="D8" i="14"/>
  <c r="F13" i="14" s="1"/>
  <c r="D5" i="14"/>
  <c r="D4" i="14"/>
  <c r="C17" i="14" s="1"/>
  <c r="D3" i="14"/>
  <c r="C14" i="14"/>
  <c r="C16" i="14"/>
  <c r="D2" i="14"/>
  <c r="C13" i="14"/>
  <c r="D7" i="14"/>
  <c r="F15" i="14"/>
  <c r="F17" i="14"/>
  <c r="F16" i="14"/>
  <c r="J15" i="19"/>
  <c r="K15" i="19"/>
  <c r="D2" i="13"/>
  <c r="E2" i="13"/>
  <c r="F2" i="13"/>
  <c r="G2" i="13" s="1"/>
  <c r="J50" i="19"/>
  <c r="K44" i="19"/>
  <c r="J38" i="19"/>
  <c r="M40" i="13"/>
  <c r="F13" i="28"/>
  <c r="B30" i="13"/>
  <c r="D37" i="28" s="1"/>
  <c r="B46" i="19"/>
  <c r="C3" i="13"/>
  <c r="B2" i="29"/>
  <c r="A27" i="25"/>
  <c r="A14" i="25"/>
  <c r="J24" i="19"/>
  <c r="K24" i="19" s="1"/>
  <c r="J39" i="19"/>
  <c r="J43" i="19"/>
  <c r="A26" i="25"/>
  <c r="C26" i="25" s="1"/>
  <c r="D26" i="25" s="1"/>
  <c r="J45" i="19"/>
  <c r="F18" i="14"/>
  <c r="J6" i="19"/>
  <c r="K6" i="19"/>
  <c r="F9" i="28"/>
  <c r="D9" i="28"/>
  <c r="K2" i="13"/>
  <c r="F12" i="28"/>
  <c r="A15" i="25"/>
  <c r="A28" i="25"/>
  <c r="C27" i="25"/>
  <c r="D27" i="25" s="1"/>
  <c r="E27" i="25"/>
  <c r="E26" i="25"/>
  <c r="E28" i="25"/>
  <c r="C28" i="25"/>
  <c r="A16" i="25"/>
  <c r="A29" i="25"/>
  <c r="H4" i="13"/>
  <c r="I4" i="13"/>
  <c r="D9" i="29"/>
  <c r="J4" i="13"/>
  <c r="C24" i="28"/>
  <c r="K4" i="13"/>
  <c r="L4" i="13"/>
  <c r="C26" i="28"/>
  <c r="M4" i="13"/>
  <c r="C27" i="28" s="1"/>
  <c r="D11" i="29"/>
  <c r="D12" i="29"/>
  <c r="C12" i="13"/>
  <c r="D12" i="13" s="1"/>
  <c r="E12" i="13" s="1"/>
  <c r="H30" i="29" s="1"/>
  <c r="F12" i="13"/>
  <c r="H31" i="29" s="1"/>
  <c r="B43" i="29" s="1"/>
  <c r="G12" i="13"/>
  <c r="C14" i="28"/>
  <c r="H28" i="29"/>
  <c r="B40" i="29" s="1"/>
  <c r="C40" i="29" s="1"/>
  <c r="C41" i="29" s="1"/>
  <c r="C42" i="29" s="1"/>
  <c r="H29" i="29"/>
  <c r="B41" i="29" s="1"/>
  <c r="B42" i="29"/>
  <c r="F10" i="28" l="1"/>
  <c r="D10" i="28" s="1"/>
  <c r="C29" i="25"/>
  <c r="D29" i="25" s="1"/>
  <c r="E29" i="25"/>
  <c r="B17" i="13"/>
  <c r="H12" i="13"/>
  <c r="H32" i="29"/>
  <c r="B44" i="29" s="1"/>
  <c r="A30" i="25"/>
  <c r="A17" i="25"/>
  <c r="J62" i="19"/>
  <c r="K62" i="19" s="1"/>
  <c r="B9" i="19" s="1"/>
  <c r="J20" i="19"/>
  <c r="K20" i="19" s="1"/>
  <c r="J28" i="19"/>
  <c r="K28" i="19" s="1"/>
  <c r="J23" i="19"/>
  <c r="K23" i="19" s="1"/>
  <c r="J22" i="19"/>
  <c r="K22" i="19" s="1"/>
  <c r="J27" i="19"/>
  <c r="K27" i="19" s="1"/>
  <c r="J26" i="19"/>
  <c r="K26" i="19" s="1"/>
  <c r="J29" i="19"/>
  <c r="K29" i="19" s="1"/>
  <c r="J19" i="19"/>
  <c r="J21" i="19"/>
  <c r="K21" i="19" s="1"/>
  <c r="J25" i="19"/>
  <c r="K25" i="19" s="1"/>
  <c r="C43" i="29"/>
  <c r="C8" i="13"/>
  <c r="B17" i="28"/>
  <c r="D3" i="13"/>
  <c r="B3" i="29"/>
  <c r="K41" i="19"/>
  <c r="J41" i="19"/>
  <c r="D12" i="28"/>
  <c r="C38" i="13"/>
  <c r="D24" i="25"/>
  <c r="K35" i="19"/>
  <c r="J35" i="19"/>
  <c r="J34" i="19"/>
  <c r="J46" i="19" s="1"/>
  <c r="K34" i="19"/>
  <c r="J2" i="13"/>
  <c r="I2" i="13"/>
  <c r="L2" i="13"/>
  <c r="K37" i="19"/>
  <c r="J37" i="19"/>
  <c r="D35" i="28"/>
  <c r="C22" i="28"/>
  <c r="C13" i="13"/>
  <c r="D13" i="13" s="1"/>
  <c r="E13" i="13" s="1"/>
  <c r="F13" i="13" s="1"/>
  <c r="G13" i="13" s="1"/>
  <c r="H13" i="13" s="1"/>
  <c r="D8" i="29"/>
  <c r="C6" i="13"/>
  <c r="D6" i="13" s="1"/>
  <c r="E6" i="13" s="1"/>
  <c r="F6" i="13" s="1"/>
  <c r="G6" i="13" s="1"/>
  <c r="H6" i="13" s="1"/>
  <c r="I6" i="13" s="1"/>
  <c r="J6" i="13" s="1"/>
  <c r="K6" i="13" s="1"/>
  <c r="L6" i="13" s="1"/>
  <c r="C25" i="28"/>
  <c r="H2" i="13"/>
  <c r="D10" i="29"/>
  <c r="J3" i="19"/>
  <c r="K36" i="19"/>
  <c r="C23" i="28"/>
  <c r="K40" i="19"/>
  <c r="K19" i="19" l="1"/>
  <c r="K30" i="19" s="1"/>
  <c r="J30" i="19"/>
  <c r="B4" i="29"/>
  <c r="B18" i="28"/>
  <c r="E3" i="13"/>
  <c r="E30" i="25"/>
  <c r="C30" i="25"/>
  <c r="D30" i="25" s="1"/>
  <c r="A18" i="25"/>
  <c r="A31" i="25"/>
  <c r="I13" i="13"/>
  <c r="F17" i="28"/>
  <c r="C16" i="29"/>
  <c r="J16" i="19"/>
  <c r="K3" i="19"/>
  <c r="K16" i="19" s="1"/>
  <c r="B13" i="19" s="1"/>
  <c r="K46" i="19"/>
  <c r="D16" i="29"/>
  <c r="D38" i="13"/>
  <c r="C44" i="29"/>
  <c r="I12" i="13"/>
  <c r="H33" i="29"/>
  <c r="B45" i="29" s="1"/>
  <c r="D17" i="29" l="1"/>
  <c r="E38" i="13"/>
  <c r="C4" i="29"/>
  <c r="C17" i="29"/>
  <c r="E17" i="29" s="1"/>
  <c r="D8" i="13"/>
  <c r="E31" i="25"/>
  <c r="C31" i="25"/>
  <c r="D31" i="25" s="1"/>
  <c r="A32" i="25"/>
  <c r="A19" i="25"/>
  <c r="J12" i="13"/>
  <c r="H34" i="29"/>
  <c r="B46" i="29" s="1"/>
  <c r="E16" i="29"/>
  <c r="B5" i="29"/>
  <c r="E8" i="13"/>
  <c r="F19" i="28" s="1"/>
  <c r="F3" i="13"/>
  <c r="B19" i="28"/>
  <c r="C45" i="29"/>
  <c r="C5" i="29" l="1"/>
  <c r="C18" i="29"/>
  <c r="E18" i="29" s="1"/>
  <c r="A33" i="25"/>
  <c r="A20" i="25"/>
  <c r="A34" i="25" s="1"/>
  <c r="E32" i="25"/>
  <c r="C32" i="25"/>
  <c r="D32" i="25" s="1"/>
  <c r="D18" i="29"/>
  <c r="F38" i="13"/>
  <c r="F8" i="13" s="1"/>
  <c r="F18" i="28"/>
  <c r="C46" i="29"/>
  <c r="H35" i="29"/>
  <c r="B47" i="29" s="1"/>
  <c r="K12" i="13"/>
  <c r="J13" i="13"/>
  <c r="B6" i="29"/>
  <c r="B20" i="28"/>
  <c r="G3" i="13"/>
  <c r="F20" i="28" l="1"/>
  <c r="C34" i="25"/>
  <c r="D34" i="25" s="1"/>
  <c r="D35" i="25" s="1"/>
  <c r="E34" i="25"/>
  <c r="E35" i="25" s="1"/>
  <c r="D37" i="25" s="1"/>
  <c r="D39" i="25" s="1"/>
  <c r="D40" i="25" s="1"/>
  <c r="C33" i="25"/>
  <c r="D33" i="25" s="1"/>
  <c r="E33" i="25"/>
  <c r="L12" i="13"/>
  <c r="H37" i="29" s="1"/>
  <c r="B49" i="29" s="1"/>
  <c r="H36" i="29"/>
  <c r="B48" i="29" s="1"/>
  <c r="C47" i="29"/>
  <c r="B7" i="29"/>
  <c r="H3" i="13"/>
  <c r="B21" i="28"/>
  <c r="G38" i="13"/>
  <c r="D19" i="29"/>
  <c r="C6" i="29"/>
  <c r="C19" i="29"/>
  <c r="E19" i="29" s="1"/>
  <c r="K13" i="13"/>
  <c r="L13" i="13" s="1"/>
  <c r="B8" i="12" s="1"/>
  <c r="H38" i="13" l="1"/>
  <c r="D20" i="29"/>
  <c r="C48" i="29"/>
  <c r="C49" i="29" s="1"/>
  <c r="G8" i="13"/>
  <c r="H8" i="13"/>
  <c r="F22" i="28" s="1"/>
  <c r="B22" i="28"/>
  <c r="D22" i="28" s="1"/>
  <c r="I3" i="13"/>
  <c r="B8" i="29"/>
  <c r="H5" i="13"/>
  <c r="C20" i="29"/>
  <c r="E20" i="29" s="1"/>
  <c r="C7" i="29"/>
  <c r="B9" i="29" l="1"/>
  <c r="B23" i="28"/>
  <c r="D23" i="28" s="1"/>
  <c r="J3" i="13"/>
  <c r="I5" i="13"/>
  <c r="F21" i="28"/>
  <c r="E8" i="29"/>
  <c r="C8" i="29"/>
  <c r="C21" i="29"/>
  <c r="D21" i="29"/>
  <c r="I38" i="13"/>
  <c r="B24" i="28" l="1"/>
  <c r="D24" i="28" s="1"/>
  <c r="K3" i="13"/>
  <c r="B10" i="29"/>
  <c r="J5" i="13"/>
  <c r="D22" i="29"/>
  <c r="J38" i="13"/>
  <c r="J8" i="13" s="1"/>
  <c r="F24" i="28" s="1"/>
  <c r="E21" i="29"/>
  <c r="I8" i="13"/>
  <c r="C22" i="29"/>
  <c r="C9" i="29"/>
  <c r="E9" i="29"/>
  <c r="E22" i="29" l="1"/>
  <c r="F23" i="28"/>
  <c r="E10" i="29"/>
  <c r="C23" i="29"/>
  <c r="E23" i="29" s="1"/>
  <c r="C10" i="29"/>
  <c r="B25" i="28"/>
  <c r="D25" i="28" s="1"/>
  <c r="L3" i="13"/>
  <c r="B11" i="29"/>
  <c r="K5" i="13"/>
  <c r="K38" i="13"/>
  <c r="D23" i="29"/>
  <c r="D24" i="29" l="1"/>
  <c r="L38" i="13"/>
  <c r="D25" i="29" s="1"/>
  <c r="C24" i="29"/>
  <c r="E24" i="29" s="1"/>
  <c r="C11" i="29"/>
  <c r="E11" i="29"/>
  <c r="K8" i="13"/>
  <c r="F25" i="28" s="1"/>
  <c r="M3" i="13"/>
  <c r="B26" i="28"/>
  <c r="D26" i="28" s="1"/>
  <c r="B12" i="29"/>
  <c r="L5" i="13"/>
  <c r="C12" i="29" l="1"/>
  <c r="C25" i="29"/>
  <c r="E25" i="29" s="1"/>
  <c r="E12" i="29"/>
  <c r="L8" i="13"/>
  <c r="F26" i="28" s="1"/>
  <c r="B27" i="28"/>
  <c r="D27" i="28" s="1"/>
  <c r="M5" i="13"/>
  <c r="J30" i="11"/>
  <c r="J31" i="11" l="1"/>
  <c r="M7" i="13"/>
  <c r="M9" i="13" l="1"/>
  <c r="B16" i="13" s="1"/>
  <c r="B18" i="13" s="1"/>
  <c r="M8" i="13"/>
  <c r="E27" i="28"/>
  <c r="F27" i="28" l="1"/>
  <c r="G27" i="28" s="1"/>
  <c r="N8" i="13"/>
  <c r="E49" i="29"/>
  <c r="B19" i="13"/>
  <c r="D29" i="28"/>
  <c r="D30" i="28" l="1"/>
  <c r="B23" i="19" l="1"/>
  <c r="B31" i="19"/>
  <c r="C39" i="19"/>
  <c r="C40" i="19"/>
  <c r="C41" i="19"/>
  <c r="C42" i="19"/>
  <c r="C43" i="19"/>
  <c r="C46" i="19"/>
  <c r="E46" i="19"/>
  <c r="B47" i="19"/>
  <c r="C47" i="19"/>
  <c r="D47" i="19"/>
  <c r="E47" i="19"/>
  <c r="B48" i="19"/>
  <c r="C48" i="19"/>
  <c r="E48" i="19"/>
  <c r="B2" i="12"/>
  <c r="B3" i="12"/>
  <c r="B4" i="12"/>
  <c r="B5" i="12"/>
  <c r="B6" i="12"/>
  <c r="B7" i="12"/>
  <c r="B9" i="12"/>
  <c r="B10" i="12"/>
  <c r="I23" i="11"/>
  <c r="I25" i="11"/>
  <c r="J32" i="11"/>
  <c r="C15" i="18"/>
  <c r="C22" i="18"/>
  <c r="C23" i="18"/>
  <c r="C24" i="18"/>
  <c r="C25" i="18"/>
  <c r="C26" i="18"/>
  <c r="C27" i="18"/>
  <c r="C28" i="18"/>
  <c r="F31" i="18"/>
  <c r="F32" i="18"/>
  <c r="F33" i="18"/>
  <c r="F34" i="18"/>
  <c r="C15" i="14"/>
  <c r="B20" i="14"/>
  <c r="B21" i="14"/>
  <c r="B23" i="14"/>
  <c r="B24" i="14"/>
  <c r="C26" i="14"/>
  <c r="D27" i="14"/>
  <c r="B10" i="28"/>
  <c r="C10" i="28"/>
  <c r="B13" i="28"/>
  <c r="D13" i="28"/>
  <c r="C17" i="28"/>
  <c r="D17" i="28"/>
  <c r="E17" i="28"/>
  <c r="G17" i="28"/>
  <c r="C18" i="28"/>
  <c r="D18" i="28"/>
  <c r="E18" i="28"/>
  <c r="G18" i="28"/>
  <c r="C19" i="28"/>
  <c r="D19" i="28"/>
  <c r="E19" i="28"/>
  <c r="G19" i="28"/>
  <c r="C20" i="28"/>
  <c r="D20" i="28"/>
  <c r="E20" i="28"/>
  <c r="G20" i="28"/>
  <c r="C21" i="28"/>
  <c r="D21" i="28"/>
  <c r="E21" i="28"/>
  <c r="G21" i="28"/>
  <c r="E22" i="28"/>
  <c r="G22" i="28"/>
  <c r="E23" i="28"/>
  <c r="G23" i="28"/>
  <c r="E24" i="28"/>
  <c r="G24" i="28"/>
  <c r="E25" i="28"/>
  <c r="G25" i="28"/>
  <c r="E26" i="28"/>
  <c r="G26" i="28"/>
  <c r="D31" i="28"/>
  <c r="D32" i="28"/>
  <c r="D33" i="28"/>
  <c r="D34" i="28"/>
  <c r="D36" i="28"/>
  <c r="D39" i="28"/>
  <c r="J43" i="28"/>
  <c r="D2" i="29"/>
  <c r="E2" i="29"/>
  <c r="G2" i="29"/>
  <c r="H2" i="29"/>
  <c r="D3" i="29"/>
  <c r="E3" i="29"/>
  <c r="F3" i="29"/>
  <c r="G3" i="29"/>
  <c r="H3" i="29"/>
  <c r="D4" i="29"/>
  <c r="E4" i="29"/>
  <c r="F4" i="29"/>
  <c r="G4" i="29"/>
  <c r="H4" i="29"/>
  <c r="D5" i="29"/>
  <c r="E5" i="29"/>
  <c r="F5" i="29"/>
  <c r="G5" i="29"/>
  <c r="H5" i="29"/>
  <c r="D6" i="29"/>
  <c r="E6" i="29"/>
  <c r="F6" i="29"/>
  <c r="G6" i="29"/>
  <c r="H6" i="29"/>
  <c r="D7" i="29"/>
  <c r="E7" i="29"/>
  <c r="F7" i="29"/>
  <c r="G7" i="29"/>
  <c r="H7" i="29"/>
  <c r="F8" i="29"/>
  <c r="G8" i="29"/>
  <c r="H8" i="29"/>
  <c r="F9" i="29"/>
  <c r="G9" i="29"/>
  <c r="H9" i="29"/>
  <c r="F10" i="29"/>
  <c r="G10" i="29"/>
  <c r="H10" i="29"/>
  <c r="F11" i="29"/>
  <c r="G11" i="29"/>
  <c r="H11" i="29"/>
  <c r="F12" i="29"/>
  <c r="G12" i="29"/>
  <c r="H12" i="29"/>
  <c r="B15" i="29"/>
  <c r="G15" i="29"/>
  <c r="H15" i="29"/>
  <c r="B16" i="29"/>
  <c r="F16" i="29"/>
  <c r="G16" i="29"/>
  <c r="H16" i="29"/>
  <c r="B17" i="29"/>
  <c r="F17" i="29"/>
  <c r="G17" i="29"/>
  <c r="H17" i="29"/>
  <c r="B18" i="29"/>
  <c r="F18" i="29"/>
  <c r="G18" i="29"/>
  <c r="H18" i="29"/>
  <c r="B19" i="29"/>
  <c r="F19" i="29"/>
  <c r="G19" i="29"/>
  <c r="H19" i="29"/>
  <c r="B20" i="29"/>
  <c r="F20" i="29"/>
  <c r="G20" i="29"/>
  <c r="H20" i="29"/>
  <c r="B21" i="29"/>
  <c r="F21" i="29"/>
  <c r="G21" i="29"/>
  <c r="H21" i="29"/>
  <c r="B22" i="29"/>
  <c r="F22" i="29"/>
  <c r="G22" i="29"/>
  <c r="H22" i="29"/>
  <c r="B23" i="29"/>
  <c r="F23" i="29"/>
  <c r="G23" i="29"/>
  <c r="H23" i="29"/>
  <c r="B24" i="29"/>
  <c r="F24" i="29"/>
  <c r="G24" i="29"/>
  <c r="H24" i="29"/>
  <c r="B25" i="29"/>
  <c r="F25" i="29"/>
  <c r="G25" i="29"/>
  <c r="H25" i="29"/>
  <c r="D40" i="29"/>
  <c r="F40" i="29"/>
  <c r="D41" i="29"/>
  <c r="F41" i="29"/>
  <c r="D42" i="29"/>
  <c r="F42" i="29"/>
  <c r="D43" i="29"/>
  <c r="F43" i="29"/>
  <c r="D44" i="29"/>
  <c r="F44" i="29"/>
  <c r="D45" i="29"/>
  <c r="F45" i="29"/>
  <c r="D46" i="29"/>
  <c r="F46" i="29"/>
  <c r="D47" i="29"/>
  <c r="F47" i="29"/>
  <c r="D48" i="29"/>
  <c r="F48" i="29"/>
  <c r="D49" i="29"/>
  <c r="F49" i="29"/>
  <c r="F50" i="29"/>
  <c r="F5" i="20"/>
  <c r="F6" i="20"/>
  <c r="D9" i="20"/>
  <c r="D10" i="20"/>
  <c r="D11" i="20"/>
  <c r="D13" i="20"/>
  <c r="B4" i="13"/>
  <c r="C4" i="13"/>
  <c r="D4" i="13"/>
  <c r="E4" i="13"/>
  <c r="F4" i="13"/>
  <c r="G4" i="13"/>
  <c r="B5" i="13"/>
  <c r="C5" i="13"/>
  <c r="D5" i="13"/>
  <c r="E5" i="13"/>
  <c r="F5" i="13"/>
  <c r="G5" i="13"/>
  <c r="N5" i="13"/>
  <c r="B7" i="13"/>
  <c r="C7" i="13"/>
  <c r="D7" i="13"/>
  <c r="E7" i="13"/>
  <c r="F7" i="13"/>
  <c r="G7" i="13"/>
  <c r="H7" i="13"/>
  <c r="I7" i="13"/>
  <c r="J7" i="13"/>
  <c r="K7" i="13"/>
  <c r="L7" i="13"/>
  <c r="C9" i="13"/>
  <c r="D9" i="13"/>
  <c r="E9" i="13"/>
  <c r="F9" i="13"/>
  <c r="G9" i="13"/>
  <c r="H9" i="13"/>
  <c r="I9" i="13"/>
  <c r="J9" i="13"/>
  <c r="K9" i="13"/>
  <c r="L9" i="13"/>
  <c r="C10" i="13"/>
  <c r="D10" i="13"/>
  <c r="E10" i="13"/>
  <c r="F10" i="13"/>
  <c r="G10" i="13"/>
  <c r="H10" i="13"/>
  <c r="I10" i="13"/>
  <c r="J10" i="13"/>
  <c r="K10" i="13"/>
  <c r="L10" i="13"/>
  <c r="M10" i="13"/>
  <c r="C14" i="13"/>
  <c r="D14" i="13"/>
  <c r="E14" i="13"/>
  <c r="F14" i="13"/>
  <c r="G14" i="13"/>
  <c r="H14" i="13"/>
  <c r="I14" i="13"/>
  <c r="J14" i="13"/>
  <c r="K14" i="13"/>
  <c r="L14" i="13"/>
  <c r="B20" i="13"/>
  <c r="B21" i="13"/>
  <c r="B23" i="13"/>
  <c r="B24" i="13"/>
  <c r="B25" i="13"/>
  <c r="B29" i="13"/>
  <c r="B31" i="13"/>
  <c r="B33" i="13"/>
  <c r="B35" i="13"/>
  <c r="B39" i="13"/>
  <c r="C39" i="13"/>
  <c r="D39" i="13"/>
  <c r="E39" i="13"/>
  <c r="F39" i="13"/>
  <c r="G39" i="13"/>
  <c r="H39" i="13"/>
  <c r="I39" i="13"/>
  <c r="J39" i="13"/>
  <c r="K39" i="13"/>
  <c r="L39" i="13"/>
  <c r="B40" i="13"/>
  <c r="C40" i="13"/>
  <c r="D40" i="13"/>
  <c r="E40" i="13"/>
  <c r="F40" i="13"/>
  <c r="G40" i="13"/>
  <c r="H40" i="13"/>
  <c r="I40" i="13"/>
  <c r="J40" i="13"/>
  <c r="K40" i="13"/>
  <c r="L4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C4" authorId="0" shapeId="0" xr:uid="{00000000-0006-0000-0100-000001000000}">
      <text>
        <r>
          <rPr>
            <b/>
            <sz val="9"/>
            <color indexed="81"/>
            <rFont val="Geneva"/>
            <family val="2"/>
          </rPr>
          <t>Aswath Damodaran:</t>
        </r>
        <r>
          <rPr>
            <sz val="9"/>
            <color indexed="81"/>
            <rFont val="Geneva"/>
            <family val="2"/>
          </rPr>
          <t xml:space="preserve">
If you are using trailing 12-month data, it is best if the last year is the 12-month period just prior to the one that you are using. Thus, if you are looking at June 2011-June 2012, your trailing 12 month for the income statement numbers will be June 2010-June 2011 and your balance sheet numbers should be as of June 2011.</t>
        </r>
      </text>
    </comment>
    <comment ref="B6" authorId="0" shapeId="0" xr:uid="{00000000-0006-0000-0100-000002000000}">
      <text>
        <r>
          <rPr>
            <b/>
            <sz val="9"/>
            <color indexed="81"/>
            <rFont val="Geneva"/>
            <family val="2"/>
          </rPr>
          <t>Aswath Damodaran:</t>
        </r>
        <r>
          <rPr>
            <sz val="9"/>
            <color indexed="81"/>
            <rFont val="Geneva"/>
            <family val="2"/>
          </rPr>
          <t xml:space="preserve">
If you are in multiple businesses, you can construct your own weighted averages using the industry average table from this spreadsheet and your company's business breakdown.</t>
        </r>
      </text>
    </comment>
    <comment ref="D7" authorId="0" shapeId="0" xr:uid="{00000000-0006-0000-0100-000003000000}">
      <text>
        <r>
          <rPr>
            <b/>
            <sz val="10"/>
            <color indexed="81"/>
            <rFont val="Calibri"/>
            <family val="2"/>
          </rPr>
          <t>Aswath Damodaran:</t>
        </r>
        <r>
          <rPr>
            <sz val="10"/>
            <color indexed="81"/>
            <rFont val="Calibri"/>
            <family val="2"/>
          </rPr>
          <t xml:space="preserve">
If you have trailing 12 month numbers, the last year's numbers may be only 3 months, 6 months or 9 months ago.</t>
        </r>
      </text>
    </comment>
    <comment ref="B8" authorId="0" shapeId="0" xr:uid="{00000000-0006-0000-0100-000004000000}">
      <text>
        <r>
          <rPr>
            <b/>
            <sz val="9"/>
            <color rgb="FF000000"/>
            <rFont val="Geneva"/>
            <family val="2"/>
          </rPr>
          <t>Aswath Damodaran:</t>
        </r>
        <r>
          <rPr>
            <sz val="9"/>
            <color rgb="FF000000"/>
            <rFont val="Geneva"/>
            <family val="2"/>
          </rPr>
          <t xml:space="preserve">
</t>
        </r>
        <r>
          <rPr>
            <sz val="9"/>
            <color rgb="FF000000"/>
            <rFont val="Geneva"/>
            <family val="2"/>
          </rPr>
          <t>Enter the revenues from the most recent period (you can either use annual or the trailing 12 months). If your company had no revenues, enter a very small positive number. (You need a base for your growth rate)</t>
        </r>
      </text>
    </comment>
    <comment ref="C8" authorId="0" shapeId="0" xr:uid="{00000000-0006-0000-0100-000005000000}">
      <text>
        <r>
          <rPr>
            <b/>
            <sz val="9"/>
            <color rgb="FF000000"/>
            <rFont val="Geneva"/>
            <family val="2"/>
          </rPr>
          <t>Aswath Damodaran:</t>
        </r>
        <r>
          <rPr>
            <sz val="9"/>
            <color rgb="FF000000"/>
            <rFont val="Geneva"/>
            <family val="2"/>
          </rPr>
          <t xml:space="preserve">
</t>
        </r>
        <r>
          <rPr>
            <sz val="9"/>
            <color rgb="FF000000"/>
            <rFont val="Geneva"/>
            <family val="2"/>
          </rPr>
          <t>Enter the revenues from the most recent period (you can either use annual or the trailing 12 months). If your company had no revenues, enter a very small positive number. (You need a base for your growth rate)</t>
        </r>
      </text>
    </comment>
    <comment ref="B9" authorId="0" shapeId="0" xr:uid="{00000000-0006-0000-0100-000006000000}">
      <text>
        <r>
          <rPr>
            <b/>
            <sz val="9"/>
            <color rgb="FF000000"/>
            <rFont val="Geneva"/>
            <family val="2"/>
          </rPr>
          <t>Aswath Damodaran:</t>
        </r>
        <r>
          <rPr>
            <sz val="9"/>
            <color rgb="FF000000"/>
            <rFont val="Geneva"/>
            <family val="2"/>
          </rPr>
          <t xml:space="preserve">
</t>
        </r>
        <r>
          <rPr>
            <sz val="9"/>
            <color rgb="FF000000"/>
            <rFont val="Geneva"/>
            <family val="2"/>
          </rPr>
          <t>Enter the operating income or EBIT from the most recent time period, even if that number is negative. If you have operating leases or R&amp;D and want to adjust for them, use the options below to start the process and enter the numbers in the relevan t worksheets.</t>
        </r>
      </text>
    </comment>
    <comment ref="C9" authorId="0" shapeId="0" xr:uid="{00000000-0006-0000-0100-000007000000}">
      <text>
        <r>
          <rPr>
            <b/>
            <sz val="9"/>
            <color rgb="FF000000"/>
            <rFont val="Geneva"/>
            <family val="2"/>
          </rPr>
          <t>Aswath Damodaran:</t>
        </r>
        <r>
          <rPr>
            <sz val="9"/>
            <color rgb="FF000000"/>
            <rFont val="Geneva"/>
            <family val="2"/>
          </rPr>
          <t xml:space="preserve">
</t>
        </r>
        <r>
          <rPr>
            <sz val="9"/>
            <color rgb="FF000000"/>
            <rFont val="Geneva"/>
            <family val="2"/>
          </rPr>
          <t>Enter the operating income or EBIT from the most recent time period, even if that number is negative. If you have operating leases, enter the adjusted operating income (see the operating lease worksheet for the amount you have to adjust operating income by).</t>
        </r>
      </text>
    </comment>
    <comment ref="B11" authorId="0" shapeId="0" xr:uid="{00000000-0006-0000-0100-000008000000}">
      <text>
        <r>
          <rPr>
            <b/>
            <sz val="9"/>
            <color rgb="FF000000"/>
            <rFont val="Geneva"/>
            <family val="2"/>
          </rPr>
          <t>Aswath Damodaran:</t>
        </r>
        <r>
          <rPr>
            <sz val="9"/>
            <color rgb="FF000000"/>
            <rFont val="Geneva"/>
            <family val="2"/>
          </rPr>
          <t xml:space="preserve">
</t>
        </r>
        <r>
          <rPr>
            <sz val="9"/>
            <color rgb="FF000000"/>
            <rFont val="Geneva"/>
            <family val="2"/>
          </rPr>
          <t>Enter the book value of equity (total) from the end of the most recent time period (i.e. the most recent balance sheet). This book equity will include everything - paid in capital, retained earnings etc. and may even be negative for companies that have been losing money for a while.</t>
        </r>
      </text>
    </comment>
    <comment ref="C11" authorId="0" shapeId="0" xr:uid="{00000000-0006-0000-0100-000009000000}">
      <text>
        <r>
          <rPr>
            <b/>
            <sz val="9"/>
            <color rgb="FF000000"/>
            <rFont val="Geneva"/>
            <family val="2"/>
          </rPr>
          <t>Aswath Damodaran:</t>
        </r>
        <r>
          <rPr>
            <sz val="9"/>
            <color rgb="FF000000"/>
            <rFont val="Geneva"/>
            <family val="2"/>
          </rPr>
          <t xml:space="preserve">
</t>
        </r>
        <r>
          <rPr>
            <sz val="9"/>
            <color rgb="FF000000"/>
            <rFont val="Geneva"/>
            <family val="2"/>
          </rPr>
          <t>Enter the book value of equity (total) from the end of the most recent time period (i.e. the most recent balance sheet). This book equity will include everything - paid in capital, retained earnings etc. and may even be negative for companies that have been losing money for a while.</t>
        </r>
      </text>
    </comment>
    <comment ref="B12" authorId="0" shapeId="0" xr:uid="{00000000-0006-0000-0100-00000A000000}">
      <text>
        <r>
          <rPr>
            <b/>
            <sz val="9"/>
            <color rgb="FF000000"/>
            <rFont val="Geneva"/>
            <family val="2"/>
          </rPr>
          <t>Aswath Damodaran:</t>
        </r>
        <r>
          <rPr>
            <sz val="9"/>
            <color rgb="FF000000"/>
            <rFont val="Geneva"/>
            <family val="2"/>
          </rPr>
          <t xml:space="preserve">
</t>
        </r>
        <r>
          <rPr>
            <sz val="9"/>
            <color rgb="FF000000"/>
            <rFont val="Geneva"/>
            <family val="2"/>
          </rPr>
          <t xml:space="preserve">Enter the book value of interest bearing debt (short and long term) at your company from the most recent balance sheet. (Do not include accounts payable, supplier credit or other non-interest bearing liabilities.) </t>
        </r>
      </text>
    </comment>
    <comment ref="C12" authorId="0" shapeId="0" xr:uid="{00000000-0006-0000-0100-00000B000000}">
      <text>
        <r>
          <rPr>
            <b/>
            <sz val="9"/>
            <color rgb="FF000000"/>
            <rFont val="Geneva"/>
            <family val="2"/>
          </rPr>
          <t>Aswath Damodaran:</t>
        </r>
        <r>
          <rPr>
            <sz val="9"/>
            <color rgb="FF000000"/>
            <rFont val="Geneva"/>
            <family val="2"/>
          </rPr>
          <t xml:space="preserve">
</t>
        </r>
        <r>
          <rPr>
            <sz val="9"/>
            <color rgb="FF000000"/>
            <rFont val="Geneva"/>
            <family val="2"/>
          </rPr>
          <t xml:space="preserve">Enter the book value of interest bearing debt (short and long term) at your company from the most recent balance sheet. (Do not include accounts payable, supplier credit or other non-interest bearing liabilities.) </t>
        </r>
      </text>
    </comment>
    <comment ref="B15" authorId="0" shapeId="0" xr:uid="{00000000-0006-0000-0100-00000C000000}">
      <text>
        <r>
          <rPr>
            <b/>
            <sz val="9"/>
            <color rgb="FF000000"/>
            <rFont val="Geneva"/>
            <family val="2"/>
          </rPr>
          <t>Aswath Damodaran:</t>
        </r>
        <r>
          <rPr>
            <sz val="9"/>
            <color rgb="FF000000"/>
            <rFont val="Geneva"/>
            <family val="2"/>
          </rPr>
          <t xml:space="preserve">
</t>
        </r>
        <r>
          <rPr>
            <sz val="9"/>
            <color rgb="FF000000"/>
            <rFont val="Geneva"/>
            <family val="2"/>
          </rPr>
          <t>Enter the cash balance from the most recent balance sheet. This should include marketable securities.</t>
        </r>
      </text>
    </comment>
    <comment ref="C15" authorId="0" shapeId="0" xr:uid="{00000000-0006-0000-0100-00000D000000}">
      <text>
        <r>
          <rPr>
            <b/>
            <sz val="9"/>
            <color rgb="FF000000"/>
            <rFont val="Geneva"/>
            <family val="2"/>
          </rPr>
          <t>Aswath Damodaran:</t>
        </r>
        <r>
          <rPr>
            <sz val="9"/>
            <color rgb="FF000000"/>
            <rFont val="Geneva"/>
            <family val="2"/>
          </rPr>
          <t xml:space="preserve">
</t>
        </r>
        <r>
          <rPr>
            <sz val="9"/>
            <color rgb="FF000000"/>
            <rFont val="Geneva"/>
            <family val="2"/>
          </rPr>
          <t>Enter the cash balance from the most recent balance sheet. This should include marketable securities.</t>
        </r>
      </text>
    </comment>
    <comment ref="B16" authorId="0" shapeId="0" xr:uid="{00000000-0006-0000-0100-00000E000000}">
      <text>
        <r>
          <rPr>
            <b/>
            <sz val="9"/>
            <color rgb="FF000000"/>
            <rFont val="Geneva"/>
            <family val="2"/>
          </rPr>
          <t>Aswath Damodaran:</t>
        </r>
        <r>
          <rPr>
            <sz val="9"/>
            <color rgb="FF000000"/>
            <rFont val="Geneva"/>
            <family val="2"/>
          </rPr>
          <t xml:space="preserve">
</t>
        </r>
        <r>
          <rPr>
            <sz val="9"/>
            <color rgb="FF000000"/>
            <rFont val="Geneva"/>
            <family val="2"/>
          </rPr>
          <t>Enter the market value of those non-cash assets whose earnings are (and will never) show up as part of operating income. The most common non-operating assets are minority holdings in other companies (which are not consoldiated). You can find the book value of these holdings on the balance sheet, but see if you can convert to market value. (I apply a price to book ratio, based on the sector that the company is in to the book value).</t>
        </r>
      </text>
    </comment>
    <comment ref="B17" authorId="0" shapeId="0" xr:uid="{00000000-0006-0000-0100-00000F000000}">
      <text>
        <r>
          <rPr>
            <b/>
            <sz val="9"/>
            <color rgb="FF000000"/>
            <rFont val="Geneva"/>
            <family val="2"/>
          </rPr>
          <t>Aswath Damodaran:</t>
        </r>
        <r>
          <rPr>
            <sz val="9"/>
            <color rgb="FF000000"/>
            <rFont val="Geneva"/>
            <family val="2"/>
          </rPr>
          <t xml:space="preserve">
</t>
        </r>
        <r>
          <rPr>
            <sz val="9"/>
            <color rgb="FF000000"/>
            <rFont val="Geneva"/>
            <family val="2"/>
          </rPr>
          <t>Enter the "market" value of minority interests. This is a uniquely accounting item and will be on the liability side of your company's balance sheet. It reflects the requirement that if you own more than 50% of another company or have effective control of it, you have to consolidate that company's statements with yours. Thus, you count 100% of that subsidiaries assets, revenues and operating income with your company, even if you own only 60%. The minority interest reflects the book value of the 40% of the equity in the subsidiary that does not belong to you. Again, it is best if you can convert the book value to a market value by applying the price to book ratio for the sector in which the subsidiary operates</t>
        </r>
      </text>
    </comment>
    <comment ref="B18" authorId="0" shapeId="0" xr:uid="{00000000-0006-0000-0100-000010000000}">
      <text>
        <r>
          <rPr>
            <b/>
            <sz val="9"/>
            <color rgb="FF000000"/>
            <rFont val="Geneva"/>
            <family val="2"/>
          </rPr>
          <t>Aswath Damodaran:</t>
        </r>
        <r>
          <rPr>
            <sz val="9"/>
            <color rgb="FF000000"/>
            <rFont val="Geneva"/>
            <family val="2"/>
          </rPr>
          <t xml:space="preserve">
</t>
        </r>
        <r>
          <rPr>
            <sz val="9"/>
            <color rgb="FF000000"/>
            <rFont val="Geneva"/>
            <family val="2"/>
          </rPr>
          <t>Enter the most recent update you have on the number of shares. If you have different classes of shares, aggregate them all and enter one number. Count restricted stock units (RSUs) as shares but don't count shares underlying employee options.</t>
        </r>
      </text>
    </comment>
    <comment ref="B19" authorId="0" shapeId="0" xr:uid="{00000000-0006-0000-0100-000011000000}">
      <text>
        <r>
          <rPr>
            <b/>
            <sz val="9"/>
            <color rgb="FF000000"/>
            <rFont val="Geneva"/>
            <family val="2"/>
          </rPr>
          <t>Aswath Damodaran:</t>
        </r>
        <r>
          <rPr>
            <sz val="9"/>
            <color rgb="FF000000"/>
            <rFont val="Geneva"/>
            <family val="2"/>
          </rPr>
          <t xml:space="preserve">
</t>
        </r>
        <r>
          <rPr>
            <sz val="9"/>
            <color rgb="FF000000"/>
            <rFont val="Geneva"/>
            <family val="2"/>
          </rPr>
          <t xml:space="preserve">Enter the most recent stock price (how about today's?) in here. </t>
        </r>
      </text>
    </comment>
    <comment ref="B20" authorId="0" shapeId="0" xr:uid="{00000000-0006-0000-0100-000012000000}">
      <text>
        <r>
          <rPr>
            <b/>
            <sz val="9"/>
            <color rgb="FF000000"/>
            <rFont val="Geneva"/>
            <family val="2"/>
          </rPr>
          <t>Aswath Damodaran:</t>
        </r>
        <r>
          <rPr>
            <sz val="9"/>
            <color rgb="FF000000"/>
            <rFont val="Geneva"/>
            <family val="2"/>
          </rPr>
          <t xml:space="preserve">
</t>
        </r>
        <r>
          <rPr>
            <sz val="9"/>
            <color rgb="FF000000"/>
            <rFont val="Geneva"/>
            <family val="2"/>
          </rPr>
          <t xml:space="preserve">Enter your effective (not marginal) tax rate for your firm. You will find this in your company's annual report. If you cannot, you can compute it as follows, from the income statement:
</t>
        </r>
        <r>
          <rPr>
            <sz val="9"/>
            <color rgb="FF000000"/>
            <rFont val="Geneva"/>
            <family val="2"/>
          </rPr>
          <t xml:space="preserve">Effective tax rate = Taxes paid/ Taxable income
</t>
        </r>
        <r>
          <rPr>
            <sz val="9"/>
            <color rgb="FF000000"/>
            <rFont val="Geneva"/>
            <family val="2"/>
          </rPr>
          <t xml:space="preserve">If your effective tax rate varies across years, you can use an average. If the effective tax rate is less than zero, enter zero.
</t>
        </r>
        <r>
          <rPr>
            <sz val="9"/>
            <color rgb="FF000000"/>
            <rFont val="Geneva"/>
            <family val="2"/>
          </rPr>
          <t>If you have a money losing company, don't enter zero but enter the tax rate that you will have when you start making money.</t>
        </r>
      </text>
    </comment>
    <comment ref="B21" authorId="0" shapeId="0" xr:uid="{00000000-0006-0000-0100-000013000000}">
      <text>
        <r>
          <rPr>
            <b/>
            <sz val="9"/>
            <color rgb="FF000000"/>
            <rFont val="Geneva"/>
            <family val="2"/>
          </rPr>
          <t>Aswath Damodaran:</t>
        </r>
        <r>
          <rPr>
            <sz val="9"/>
            <color rgb="FF000000"/>
            <rFont val="Geneva"/>
            <family val="2"/>
          </rPr>
          <t xml:space="preserve">
</t>
        </r>
        <r>
          <rPr>
            <sz val="9"/>
            <color rgb="FF000000"/>
            <rFont val="Geneva"/>
            <family val="2"/>
          </rPr>
          <t>This is a statutory tax rate. I use the tax rate of the country the company is domiciled in. See worksheet embedded in this spreadshseet for country tax rates.</t>
        </r>
      </text>
    </comment>
    <comment ref="B23" authorId="0" shapeId="0" xr:uid="{00000000-0006-0000-0100-000014000000}">
      <text>
        <r>
          <rPr>
            <b/>
            <sz val="9"/>
            <color rgb="FF000000"/>
            <rFont val="Geneva"/>
            <family val="2"/>
          </rPr>
          <t>Aswath Damodaran:</t>
        </r>
        <r>
          <rPr>
            <sz val="9"/>
            <color rgb="FF000000"/>
            <rFont val="Geneva"/>
            <family val="2"/>
          </rPr>
          <t xml:space="preserve">
</t>
        </r>
        <r>
          <rPr>
            <sz val="9"/>
            <color rgb="FF000000"/>
            <rFont val="Geneva"/>
            <family val="2"/>
          </rPr>
          <t xml:space="preserve">I don't have a crystal ball but you should look at 
</t>
        </r>
        <r>
          <rPr>
            <sz val="9"/>
            <color rgb="FF000000"/>
            <rFont val="Geneva"/>
            <family val="2"/>
          </rPr>
          <t xml:space="preserve">a. Revenue growth in your company in recent years
</t>
        </r>
        <r>
          <rPr>
            <sz val="9"/>
            <color rgb="FF000000"/>
            <rFont val="Geneva"/>
            <family val="2"/>
          </rPr>
          <t xml:space="preserve">b. Your company's revenues, relative to the overall market size and larger players in the sector. 
</t>
        </r>
        <r>
          <rPr>
            <sz val="9"/>
            <color rgb="FF000000"/>
            <rFont val="Geneva"/>
            <family val="2"/>
          </rPr>
          <t xml:space="preserve">Suggestion: Check your revenues in year 10 against the overall market and see what market share are you giving your company. Check your company's revenues against other companies in the sector.
</t>
        </r>
        <r>
          <rPr>
            <sz val="9"/>
            <color rgb="FF000000"/>
            <rFont val="Geneva"/>
            <family val="2"/>
          </rPr>
          <t>Note that this number can be negative for a declining firm.</t>
        </r>
      </text>
    </comment>
    <comment ref="B24" authorId="0" shapeId="0" xr:uid="{00000000-0006-0000-0100-000015000000}">
      <text>
        <r>
          <rPr>
            <b/>
            <sz val="9"/>
            <color rgb="FF000000"/>
            <rFont val="Geneva"/>
            <family val="2"/>
          </rPr>
          <t>Aswath Damodaran:</t>
        </r>
        <r>
          <rPr>
            <sz val="9"/>
            <color rgb="FF000000"/>
            <rFont val="Geneva"/>
            <family val="2"/>
          </rPr>
          <t xml:space="preserve">
</t>
        </r>
        <r>
          <rPr>
            <sz val="9"/>
            <color rgb="FF000000"/>
            <rFont val="Geneva"/>
            <family val="2"/>
          </rPr>
          <t xml:space="preserve">You should start by looking at your company's current pre-tax operating margin  but also look at the average for your industry. (You can check my estimates of industry averages in the last worksheet on this spreadsheet.) </t>
        </r>
      </text>
    </comment>
    <comment ref="B25" authorId="0" shapeId="0" xr:uid="{00000000-0006-0000-0100-000016000000}">
      <text>
        <r>
          <rPr>
            <b/>
            <sz val="10"/>
            <color rgb="FF000000"/>
            <rFont val="Calibri"/>
            <family val="2"/>
          </rPr>
          <t>Aswath Damodaran:</t>
        </r>
        <r>
          <rPr>
            <sz val="10"/>
            <color rgb="FF000000"/>
            <rFont val="Calibri"/>
            <family val="2"/>
          </rPr>
          <t xml:space="preserve">
</t>
        </r>
        <r>
          <rPr>
            <sz val="10"/>
            <color rgb="FF000000"/>
            <rFont val="Calibri"/>
            <family val="2"/>
          </rPr>
          <t>This is the forecast year in which your current margin will converge on target.</t>
        </r>
      </text>
    </comment>
    <comment ref="B26" authorId="0" shapeId="0" xr:uid="{00000000-0006-0000-0100-000017000000}">
      <text>
        <r>
          <rPr>
            <b/>
            <sz val="9"/>
            <color rgb="FF000000"/>
            <rFont val="Geneva"/>
            <family val="2"/>
          </rPr>
          <t>Aswath Damodaran:</t>
        </r>
        <r>
          <rPr>
            <sz val="9"/>
            <color rgb="FF000000"/>
            <rFont val="Geneva"/>
            <family val="2"/>
          </rPr>
          <t xml:space="preserve">
</t>
        </r>
        <r>
          <rPr>
            <sz val="9"/>
            <color rgb="FF000000"/>
            <rFont val="Geneva"/>
            <family val="2"/>
          </rPr>
          <t>You are probably wondering what this is but it is how I compute how much you are going to reinvest to keep your business growing in future years. The higher you set this number, the more efficiently you are growing and the higher the value of your growth. Again, look at your company's current number (check on the right). Look at the industry averages as well in the worksheet.</t>
        </r>
      </text>
    </comment>
    <comment ref="B28" authorId="0" shapeId="0" xr:uid="{00000000-0006-0000-0100-000018000000}">
      <text>
        <r>
          <rPr>
            <b/>
            <sz val="9"/>
            <color rgb="FF000000"/>
            <rFont val="Geneva"/>
            <family val="2"/>
          </rPr>
          <t>Aswath Damodaran:</t>
        </r>
        <r>
          <rPr>
            <sz val="9"/>
            <color rgb="FF000000"/>
            <rFont val="Geneva"/>
            <family val="2"/>
          </rPr>
          <t xml:space="preserve">
</t>
        </r>
        <r>
          <rPr>
            <sz val="9"/>
            <color rgb="FF000000"/>
            <rFont val="Geneva"/>
            <family val="2"/>
          </rPr>
          <t>This should be today's long term riskfree rate. If you are working with a currency where the government has default risk, clean up the government bond rate to make it riskfree (by subtracting the default spread for the government).</t>
        </r>
      </text>
    </comment>
    <comment ref="B29" authorId="0" shapeId="0" xr:uid="{00000000-0006-0000-0100-000019000000}">
      <text>
        <r>
          <rPr>
            <b/>
            <sz val="9"/>
            <color rgb="FF000000"/>
            <rFont val="Geneva"/>
            <family val="2"/>
          </rPr>
          <t>Aswath Damodaran:</t>
        </r>
        <r>
          <rPr>
            <sz val="9"/>
            <color rgb="FF000000"/>
            <rFont val="Geneva"/>
            <family val="2"/>
          </rPr>
          <t xml:space="preserve">
</t>
        </r>
        <r>
          <rPr>
            <sz val="9"/>
            <color rgb="FF000000"/>
            <rFont val="Geneva"/>
            <family val="2"/>
          </rPr>
          <t>Enter the current cost of capital for your firm. If you don't know what it is, you can use the worksheet to compute it.</t>
        </r>
      </text>
    </comment>
    <comment ref="J30" authorId="0" shapeId="0" xr:uid="{00000000-0006-0000-0100-00001A000000}">
      <text>
        <r>
          <rPr>
            <b/>
            <sz val="10"/>
            <color indexed="81"/>
            <rFont val="Calibri"/>
            <family val="2"/>
          </rPr>
          <t>Aswath Damodaran:</t>
        </r>
        <r>
          <rPr>
            <sz val="10"/>
            <color indexed="81"/>
            <rFont val="Calibri"/>
            <family val="2"/>
          </rPr>
          <t xml:space="preserve">
Compare to your total market and check your market share.</t>
        </r>
      </text>
    </comment>
    <comment ref="J31" authorId="0" shapeId="0" xr:uid="{00000000-0006-0000-0100-00001B000000}">
      <text>
        <r>
          <rPr>
            <b/>
            <sz val="10"/>
            <color indexed="81"/>
            <rFont val="Calibri"/>
            <family val="2"/>
          </rPr>
          <t>Aswath Damodaran:</t>
        </r>
        <r>
          <rPr>
            <sz val="10"/>
            <color indexed="81"/>
            <rFont val="Calibri"/>
            <family val="2"/>
          </rPr>
          <t xml:space="preserve">
Determined by your target margin. </t>
        </r>
      </text>
    </comment>
    <comment ref="B32" authorId="0" shapeId="0" xr:uid="{00000000-0006-0000-0100-00001C000000}">
      <text>
        <r>
          <rPr>
            <b/>
            <sz val="9"/>
            <color rgb="FF000000"/>
            <rFont val="Geneva"/>
            <family val="2"/>
          </rPr>
          <t>Aswath Damodaran:</t>
        </r>
        <r>
          <rPr>
            <sz val="9"/>
            <color rgb="FF000000"/>
            <rFont val="Geneva"/>
            <family val="2"/>
          </rPr>
          <t xml:space="preserve">
</t>
        </r>
        <r>
          <rPr>
            <sz val="9"/>
            <color rgb="FF000000"/>
            <rFont val="Geneva"/>
            <family val="2"/>
          </rPr>
          <t>Check your company's annual report or 10K. If it does have options outstanding, enter the total number here (vested and non vested, in the money and out…)</t>
        </r>
      </text>
    </comment>
    <comment ref="J32" authorId="0" shapeId="0" xr:uid="{00000000-0006-0000-0100-00001D000000}">
      <text>
        <r>
          <rPr>
            <b/>
            <sz val="10"/>
            <color indexed="81"/>
            <rFont val="Calibri"/>
            <family val="2"/>
          </rPr>
          <t>Aswath Damodaran:</t>
        </r>
        <r>
          <rPr>
            <sz val="10"/>
            <color indexed="81"/>
            <rFont val="Calibri"/>
            <family val="2"/>
          </rPr>
          <t xml:space="preserve">
Function of both your target margin and your sales to capital ratio.</t>
        </r>
      </text>
    </comment>
    <comment ref="B33" authorId="0" shapeId="0" xr:uid="{00000000-0006-0000-0100-00001E000000}">
      <text>
        <r>
          <rPr>
            <b/>
            <sz val="9"/>
            <color rgb="FF000000"/>
            <rFont val="Geneva"/>
            <family val="2"/>
          </rPr>
          <t>Aswath Damodaran:</t>
        </r>
        <r>
          <rPr>
            <sz val="9"/>
            <color rgb="FF000000"/>
            <rFont val="Geneva"/>
            <family val="2"/>
          </rPr>
          <t xml:space="preserve">
</t>
        </r>
        <r>
          <rPr>
            <sz val="9"/>
            <color rgb="FF000000"/>
            <rFont val="Geneva"/>
            <family val="2"/>
          </rPr>
          <t>Enter the weighted average strike price of your options. (Should be in your 10K or annual report.)</t>
        </r>
      </text>
    </comment>
    <comment ref="B34" authorId="0" shapeId="0" xr:uid="{00000000-0006-0000-0100-00001F000000}">
      <text>
        <r>
          <rPr>
            <b/>
            <sz val="9"/>
            <color rgb="FF000000"/>
            <rFont val="Geneva"/>
            <family val="2"/>
          </rPr>
          <t>Aswath Damodaran:</t>
        </r>
        <r>
          <rPr>
            <sz val="9"/>
            <color rgb="FF000000"/>
            <rFont val="Geneva"/>
            <family val="2"/>
          </rPr>
          <t xml:space="preserve">
</t>
        </r>
        <r>
          <rPr>
            <sz val="9"/>
            <color rgb="FF000000"/>
            <rFont val="Geneva"/>
            <family val="2"/>
          </rPr>
          <t>The weighted average maturity of your options should be reported in your financial statements.</t>
        </r>
      </text>
    </comment>
    <comment ref="B35" authorId="0" shapeId="0" xr:uid="{00000000-0006-0000-0100-000020000000}">
      <text>
        <r>
          <rPr>
            <b/>
            <sz val="9"/>
            <color rgb="FF000000"/>
            <rFont val="Geneva"/>
            <family val="2"/>
          </rPr>
          <t>Aswath Damodaran:</t>
        </r>
        <r>
          <rPr>
            <sz val="9"/>
            <color rgb="FF000000"/>
            <rFont val="Geneva"/>
            <family val="2"/>
          </rPr>
          <t xml:space="preserve">
</t>
        </r>
        <r>
          <rPr>
            <sz val="9"/>
            <color rgb="FF000000"/>
            <rFont val="Geneva"/>
            <family val="2"/>
          </rPr>
          <t>If you have a standard deviation for your stock, enter that number. If not, use the industry average standard deviation from the worksheet.</t>
        </r>
      </text>
    </comment>
    <comment ref="B39" authorId="0" shapeId="0" xr:uid="{00000000-0006-0000-0100-000021000000}">
      <text>
        <r>
          <rPr>
            <b/>
            <sz val="9"/>
            <color rgb="FF000000"/>
            <rFont val="Geneva"/>
            <family val="2"/>
          </rPr>
          <t>Aswath Damodaran:</t>
        </r>
        <r>
          <rPr>
            <sz val="9"/>
            <color rgb="FF000000"/>
            <rFont val="Geneva"/>
            <family val="2"/>
          </rPr>
          <t xml:space="preserve">
</t>
        </r>
        <r>
          <rPr>
            <sz val="9"/>
            <color rgb="FF000000"/>
            <rFont val="Geneva"/>
            <family val="2"/>
          </rPr>
          <t>Mature companies tend to have costs of capital closer to the market average. While the riskfree rate + 4.5% is a close approximation of the average, you can use a slightly higher number (riskfree rate + 6%) for mature companies in riskier businesses and a slightly lower number (risfree rate + 4%) for safer companies.</t>
        </r>
      </text>
    </comment>
    <comment ref="B42" authorId="0" shapeId="0" xr:uid="{00000000-0006-0000-0100-000022000000}">
      <text>
        <r>
          <rPr>
            <b/>
            <sz val="9"/>
            <color rgb="FF000000"/>
            <rFont val="Geneva"/>
            <family val="2"/>
          </rPr>
          <t>Aswath Damodaran:</t>
        </r>
        <r>
          <rPr>
            <sz val="9"/>
            <color rgb="FF000000"/>
            <rFont val="Geneva"/>
            <family val="2"/>
          </rPr>
          <t xml:space="preserve">
</t>
        </r>
        <r>
          <rPr>
            <sz val="9"/>
            <color rgb="FF000000"/>
            <rFont val="Geneva"/>
            <family val="2"/>
          </rPr>
          <t>The default assumption is that competitive advantages will fade to zero over time. While this is a good assumption for many firms (about 7 in 10), there are some firms with sustainable competitive advantages (brand name, for instance), where the excess returns may continue beyond year 10. If your firm is one of those, you can enter a return on capital higher than your cost of capital in the cell below. Just don't get carried away. At the maximum, the excess return should not exceed 5% for a mature firm.</t>
        </r>
      </text>
    </comment>
    <comment ref="B43" authorId="0" shapeId="0" xr:uid="{00000000-0006-0000-0100-000023000000}">
      <text>
        <r>
          <rPr>
            <b/>
            <sz val="9"/>
            <color rgb="FF000000"/>
            <rFont val="Geneva"/>
            <family val="2"/>
          </rPr>
          <t>Aswath Damodaran:</t>
        </r>
        <r>
          <rPr>
            <sz val="9"/>
            <color rgb="FF000000"/>
            <rFont val="Geneva"/>
            <family val="2"/>
          </rPr>
          <t xml:space="preserve">
</t>
        </r>
        <r>
          <rPr>
            <sz val="9"/>
            <color rgb="FF000000"/>
            <rFont val="Geneva"/>
            <family val="2"/>
          </rPr>
          <t xml:space="preserve">Even if you believe your firm has significant competitive advantages, don't set this number to more than 5% more than your cost of capital. </t>
        </r>
      </text>
    </comment>
    <comment ref="B45" authorId="0" shapeId="0" xr:uid="{00000000-0006-0000-0100-000024000000}">
      <text>
        <r>
          <rPr>
            <b/>
            <sz val="9"/>
            <color rgb="FF000000"/>
            <rFont val="Geneva"/>
            <family val="2"/>
          </rPr>
          <t>Aswath Damodaran:</t>
        </r>
        <r>
          <rPr>
            <sz val="9"/>
            <color rgb="FF000000"/>
            <rFont val="Geneva"/>
            <family val="2"/>
          </rPr>
          <t xml:space="preserve">
</t>
        </r>
        <r>
          <rPr>
            <sz val="9"/>
            <color rgb="FF000000"/>
            <rFont val="Geneva"/>
            <family val="2"/>
          </rPr>
          <t>Companies at either end of the life cycle - young, growth and old, declining firms have a significant likelihood of failure. While we tend to ignore this in conventional DCF, it is worth thinking about whether you want to estimate a probability of failure. It is not easy to do but it can be done by looking at either history (with young, growth companies) or the debt market (with distressed companies).</t>
        </r>
      </text>
    </comment>
    <comment ref="B46" authorId="0" shapeId="0" xr:uid="{00000000-0006-0000-0100-000025000000}">
      <text>
        <r>
          <rPr>
            <b/>
            <sz val="9"/>
            <color indexed="81"/>
            <rFont val="Geneva"/>
            <family val="2"/>
          </rPr>
          <t>Aswath Damodaran</t>
        </r>
        <r>
          <rPr>
            <sz val="9"/>
            <color indexed="81"/>
            <rFont val="Geneva"/>
            <family val="2"/>
          </rPr>
          <t xml:space="preserve">
If you want to look at ways of estimating this probability, try these papers I have on the topic:
For young growth companies: http://papers.ssrn.com/sol3/papers.cfm?abstract_id=1418687  
For declining, distressed companies: http://papers.ssrn.com/sol3/papers.cfm?abstract_id=1428022 </t>
        </r>
      </text>
    </comment>
    <comment ref="B47" authorId="0" shapeId="0" xr:uid="{00000000-0006-0000-0100-000026000000}">
      <text>
        <r>
          <rPr>
            <b/>
            <sz val="9"/>
            <color rgb="FF000000"/>
            <rFont val="Geneva"/>
            <family val="2"/>
          </rPr>
          <t>Aswath Damodaran:</t>
        </r>
        <r>
          <rPr>
            <sz val="9"/>
            <color rgb="FF000000"/>
            <rFont val="Geneva"/>
            <family val="2"/>
          </rPr>
          <t xml:space="preserve">
</t>
        </r>
        <r>
          <rPr>
            <sz val="9"/>
            <color rgb="FF000000"/>
            <rFont val="Geneva"/>
            <family val="2"/>
          </rPr>
          <t>If the firm fail and has to liquidate its assets, you need to specify what the liquidation proceeds will be tied to. For young growth companies, I would tie it to value and with distressed firms (especially ones with significant assets in place), I would use book value.</t>
        </r>
      </text>
    </comment>
    <comment ref="B48" authorId="0" shapeId="0" xr:uid="{00000000-0006-0000-0100-000027000000}">
      <text>
        <r>
          <rPr>
            <b/>
            <sz val="9"/>
            <color rgb="FF000000"/>
            <rFont val="Geneva"/>
            <family val="2"/>
          </rPr>
          <t>Aswath Damodaran:</t>
        </r>
        <r>
          <rPr>
            <sz val="9"/>
            <color rgb="FF000000"/>
            <rFont val="Geneva"/>
            <family val="2"/>
          </rPr>
          <t xml:space="preserve">
</t>
        </r>
        <r>
          <rPr>
            <sz val="9"/>
            <color rgb="FF000000"/>
            <rFont val="Geneva"/>
            <family val="2"/>
          </rPr>
          <t>You will generally not get 100% of fair value. How much less than 100% you get will depend on whether there are lots of potential buyers for your assets and how much of a hurry you are in to liquidate. It may well be zero for a young growth company with no tangible assets.</t>
        </r>
      </text>
    </comment>
    <comment ref="B50" authorId="0" shapeId="0" xr:uid="{00000000-0006-0000-0100-000028000000}">
      <text>
        <r>
          <rPr>
            <b/>
            <sz val="9"/>
            <color indexed="81"/>
            <rFont val="Geneva"/>
            <family val="2"/>
          </rPr>
          <t>Aswath Damodaran:</t>
        </r>
        <r>
          <rPr>
            <sz val="9"/>
            <color indexed="81"/>
            <rFont val="Geneva"/>
            <family val="2"/>
          </rPr>
          <t xml:space="preserve">
Companies generally pay less than the marginal tax rate on their income. Some of that is due to tax deferral and others to quirks in the tax law. Over time, the conservative assumption is to require the tax rate to move towards the marginal tax rate. However, if you believe that your firm's tax benefits are permanent, you can override this assumption.</t>
        </r>
      </text>
    </comment>
    <comment ref="B52" authorId="0" shapeId="0" xr:uid="{00000000-0006-0000-0100-000029000000}">
      <text>
        <r>
          <rPr>
            <b/>
            <sz val="9"/>
            <color rgb="FF000000"/>
            <rFont val="Geneva"/>
            <family val="2"/>
          </rPr>
          <t>Aswath Damodaran:</t>
        </r>
        <r>
          <rPr>
            <sz val="9"/>
            <color rgb="FF000000"/>
            <rFont val="Geneva"/>
            <family val="2"/>
          </rPr>
          <t xml:space="preserve">
</t>
        </r>
        <r>
          <rPr>
            <sz val="9"/>
            <color rgb="FF000000"/>
            <rFont val="Geneva"/>
            <family val="2"/>
          </rPr>
          <t>If your company has been losing money for a while, there will be accumulated losses from prior periods. Check your financial statements.</t>
        </r>
      </text>
    </comment>
    <comment ref="B53" authorId="0" shapeId="0" xr:uid="{00000000-0006-0000-0100-00002A000000}">
      <text>
        <r>
          <rPr>
            <b/>
            <sz val="9"/>
            <color indexed="81"/>
            <rFont val="Geneva"/>
            <family val="2"/>
          </rPr>
          <t>Aswath Damodaran:</t>
        </r>
        <r>
          <rPr>
            <sz val="9"/>
            <color indexed="81"/>
            <rFont val="Geneva"/>
            <family val="2"/>
          </rPr>
          <t xml:space="preserve">
This is the NOL from prior years carried forward into this year.</t>
        </r>
      </text>
    </comment>
    <comment ref="B56" authorId="0" shapeId="0" xr:uid="{00000000-0006-0000-0100-00002B000000}">
      <text>
        <r>
          <rPr>
            <b/>
            <sz val="10"/>
            <color indexed="81"/>
            <rFont val="Calibri"/>
            <family val="2"/>
          </rPr>
          <t xml:space="preserve">Aswath Damodaran:
</t>
        </r>
        <r>
          <rPr>
            <sz val="10"/>
            <color indexed="81"/>
            <rFont val="Calibri"/>
            <family val="2"/>
          </rPr>
          <t xml:space="preserve">Be VERY, VERY careful. This is a growth rate in perpetuity, after year 10. Entering numbers significantly (more than 1%) higher than the risk free rate will render your valuation close to useless.
</t>
        </r>
      </text>
    </comment>
    <comment ref="B59" authorId="0" shapeId="0" xr:uid="{00000000-0006-0000-0100-00002C000000}">
      <text>
        <r>
          <rPr>
            <b/>
            <sz val="10"/>
            <color indexed="81"/>
            <rFont val="Calibri"/>
            <family val="2"/>
          </rPr>
          <t>Aswath Damodaran:</t>
        </r>
        <r>
          <rPr>
            <sz val="10"/>
            <color indexed="81"/>
            <rFont val="Calibri"/>
            <family val="2"/>
          </rPr>
          <t xml:space="preserve">
If your concern is that a portion of the cash is trapped in foreign markets and will be subject to tax, when returned, enter the trapped cash balance. If you feel that the entire cash balance is being discounted because markets don't trust managers, enter the entire cash balance.</t>
        </r>
      </text>
    </comment>
    <comment ref="B60" authorId="0" shapeId="0" xr:uid="{00000000-0006-0000-0100-00002D000000}">
      <text>
        <r>
          <rPr>
            <b/>
            <sz val="10"/>
            <color indexed="81"/>
            <rFont val="Calibri"/>
            <family val="2"/>
          </rPr>
          <t>Aswath Damodaran:</t>
        </r>
        <r>
          <rPr>
            <sz val="10"/>
            <color indexed="81"/>
            <rFont val="Calibri"/>
            <family val="2"/>
          </rPr>
          <t xml:space="preserve">
This is the additional tax due, if the cash is trapped cash. If your concern is that all cash is being discounted by the market because of management mistrust, enter the percentage discount to apply to cash.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D40" authorId="0" shapeId="0" xr:uid="{00000000-0006-0000-0700-000001000000}">
      <text>
        <r>
          <rPr>
            <b/>
            <sz val="9"/>
            <color indexed="81"/>
            <rFont val="Geneva"/>
            <family val="2"/>
          </rPr>
          <t>Aswath Damodaran:</t>
        </r>
        <r>
          <rPr>
            <sz val="9"/>
            <color indexed="81"/>
            <rFont val="Geneva"/>
            <family val="2"/>
          </rPr>
          <t xml:space="preserve">
By expensing R&amp;D rather than capitalizing it, the firm gets a tax benefit. This is the dollar value of that tax benefit.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B9" authorId="0" shapeId="0" xr:uid="{00000000-0006-0000-0900-000001000000}">
      <text>
        <r>
          <rPr>
            <b/>
            <sz val="9"/>
            <color indexed="81"/>
            <rFont val="Geneva"/>
            <family val="2"/>
          </rPr>
          <t>Aswath Damodaran:</t>
        </r>
        <r>
          <rPr>
            <sz val="9"/>
            <color indexed="81"/>
            <rFont val="Geneva"/>
            <family val="2"/>
          </rPr>
          <t xml:space="preserve">
Use a sector average beta, if need be.</t>
        </r>
      </text>
    </comment>
    <comment ref="B11" authorId="0" shapeId="0" xr:uid="{00000000-0006-0000-0900-000002000000}">
      <text>
        <r>
          <rPr>
            <b/>
            <sz val="9"/>
            <color rgb="FF000000"/>
            <rFont val="Geneva"/>
            <family val="2"/>
          </rPr>
          <t>Aswath Damodaran:</t>
        </r>
        <r>
          <rPr>
            <sz val="9"/>
            <color rgb="FF000000"/>
            <rFont val="Geneva"/>
            <family val="2"/>
          </rPr>
          <t xml:space="preserve">
</t>
        </r>
        <r>
          <rPr>
            <sz val="9"/>
            <color rgb="FF000000"/>
            <rFont val="Geneva"/>
            <family val="2"/>
          </rPr>
          <t>If you pick operating regions or countries, please input the revenues by country or region in the table to the right.</t>
        </r>
      </text>
    </comment>
    <comment ref="B13" authorId="0" shapeId="0" xr:uid="{00000000-0006-0000-0900-000003000000}">
      <text>
        <r>
          <rPr>
            <b/>
            <sz val="9"/>
            <color indexed="81"/>
            <rFont val="Geneva"/>
            <family val="2"/>
          </rPr>
          <t>Aswath Damodaran:</t>
        </r>
        <r>
          <rPr>
            <sz val="9"/>
            <color indexed="81"/>
            <rFont val="Geneva"/>
            <family val="2"/>
          </rPr>
          <t xml:space="preserve">
If your company has risk exposure in emergiing markets, incorporate that risk premiums here. See worksheet on country risk premiums.</t>
        </r>
      </text>
    </comment>
    <comment ref="B17" authorId="0" shapeId="0" xr:uid="{00000000-0006-0000-0900-000004000000}">
      <text>
        <r>
          <rPr>
            <b/>
            <sz val="9"/>
            <color indexed="81"/>
            <rFont val="Geneva"/>
            <family val="2"/>
          </rPr>
          <t>Aswath Damodaran:</t>
        </r>
        <r>
          <rPr>
            <sz val="9"/>
            <color indexed="81"/>
            <rFont val="Geneva"/>
            <family val="2"/>
          </rPr>
          <t xml:space="preserve">
Interest expense (gross) from most recent financial statement.</t>
        </r>
      </text>
    </comment>
    <comment ref="B18" authorId="0" shapeId="0" xr:uid="{00000000-0006-0000-0900-000005000000}">
      <text>
        <r>
          <rPr>
            <b/>
            <sz val="9"/>
            <color indexed="81"/>
            <rFont val="Geneva"/>
            <family val="2"/>
          </rPr>
          <t>Aswath Damodaran:</t>
        </r>
        <r>
          <rPr>
            <sz val="9"/>
            <color indexed="81"/>
            <rFont val="Geneva"/>
            <family val="2"/>
          </rPr>
          <t xml:space="preserve">
Generally found in footnotes to financial statements.</t>
        </r>
      </text>
    </comment>
    <comment ref="B22" authorId="0" shapeId="0" xr:uid="{00000000-0006-0000-0900-000006000000}">
      <text>
        <r>
          <rPr>
            <b/>
            <sz val="9"/>
            <color indexed="81"/>
            <rFont val="Geneva"/>
            <family val="2"/>
          </rPr>
          <t>Aswath Damodaran:</t>
        </r>
        <r>
          <rPr>
            <sz val="9"/>
            <color indexed="81"/>
            <rFont val="Geneva"/>
            <family val="2"/>
          </rPr>
          <t xml:space="preserve">
1: Large market cap (&gt;$5 billion) and safe.
2: Small market cap (&lt;$5 billion) or risky.
If company has volatile earnings or is in risky business, use 2, even if large market cap.</t>
        </r>
      </text>
    </comment>
    <comment ref="B23" authorId="0" shapeId="0" xr:uid="{00000000-0006-0000-0900-000007000000}">
      <text>
        <r>
          <rPr>
            <b/>
            <sz val="9"/>
            <color indexed="81"/>
            <rFont val="Geneva"/>
            <family val="2"/>
          </rPr>
          <t>Aswath Damodaran:</t>
        </r>
        <r>
          <rPr>
            <sz val="9"/>
            <color indexed="81"/>
            <rFont val="Geneva"/>
            <family val="2"/>
          </rPr>
          <t xml:space="preserve">
Current, long term cost of borrowing money. If you have a rating use it, if not use a synthetic rating. See the worksheet attached.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F5" authorId="0" shapeId="0" xr:uid="{00000000-0006-0000-0A00-000001000000}">
      <text>
        <r>
          <rPr>
            <b/>
            <sz val="9"/>
            <color indexed="81"/>
            <rFont val="Geneva"/>
            <family val="2"/>
          </rPr>
          <t>Aswath Damodaran:</t>
        </r>
        <r>
          <rPr>
            <sz val="9"/>
            <color indexed="81"/>
            <rFont val="Geneva"/>
            <family val="2"/>
          </rPr>
          <t xml:space="preserve">
If your most recent year's operating income is unusually low or high, you can use the average operating income from the last few years. </t>
        </r>
      </text>
    </comment>
    <comment ref="F6" authorId="0" shapeId="0" xr:uid="{00000000-0006-0000-0A00-000002000000}">
      <text>
        <r>
          <rPr>
            <b/>
            <sz val="9"/>
            <color indexed="81"/>
            <rFont val="Geneva"/>
            <family val="2"/>
          </rPr>
          <t>Aswath Damodaran:</t>
        </r>
        <r>
          <rPr>
            <sz val="9"/>
            <color indexed="81"/>
            <rFont val="Geneva"/>
            <family val="2"/>
          </rPr>
          <t xml:space="preserve">
Enter the interest expense from the most recent income statement.</t>
        </r>
      </text>
    </comment>
    <comment ref="F7" authorId="0" shapeId="0" xr:uid="{00000000-0006-0000-0A00-000003000000}">
      <text>
        <r>
          <rPr>
            <b/>
            <sz val="9"/>
            <color indexed="81"/>
            <rFont val="Geneva"/>
            <family val="2"/>
          </rPr>
          <t>Aswath Damodaran:</t>
        </r>
        <r>
          <rPr>
            <sz val="9"/>
            <color indexed="81"/>
            <rFont val="Geneva"/>
            <family val="2"/>
          </rPr>
          <t xml:space="preserve">
I use a 10 year government bond rate.</t>
        </r>
      </text>
    </comment>
  </commentList>
</comments>
</file>

<file path=xl/sharedStrings.xml><?xml version="1.0" encoding="utf-8"?>
<sst xmlns="http://schemas.openxmlformats.org/spreadsheetml/2006/main" count="1443" uniqueCount="794">
  <si>
    <t>If calculated value is negative or looks too low</t>
    <phoneticPr fontId="6" type="noConversion"/>
  </si>
  <si>
    <t>If calculated value looks too high</t>
    <phoneticPr fontId="6" type="noConversion"/>
  </si>
  <si>
    <t>Increase revenue growth rate</t>
    <phoneticPr fontId="6" type="noConversion"/>
  </si>
  <si>
    <t>Decrease revenue growth rate</t>
    <phoneticPr fontId="6" type="noConversion"/>
  </si>
  <si>
    <t>Marginal ROIC over 10 years</t>
    <phoneticPr fontId="6" type="noConversion"/>
  </si>
  <si>
    <t>ROIC at end of valuation</t>
    <phoneticPr fontId="6" type="noConversion"/>
  </si>
  <si>
    <t>Inputs</t>
  </si>
  <si>
    <t>Invested capital at start of valuation</t>
    <phoneticPr fontId="6" type="noConversion"/>
  </si>
  <si>
    <t>Invested capital at end of valuation</t>
    <phoneticPr fontId="6" type="noConversion"/>
  </si>
  <si>
    <t>Change in invested capital over 10 years</t>
    <phoneticPr fontId="6" type="noConversion"/>
  </si>
  <si>
    <t>Change in EBIT*(1–t) (after-tax operating income) over 10 years</t>
    <phoneticPr fontId="6" type="noConversion"/>
  </si>
  <si>
    <t>Revenues</t>
  </si>
  <si>
    <t>EBIT(1-t)</t>
  </si>
  <si>
    <t>Number of shares</t>
    <phoneticPr fontId="5" type="noConversion"/>
  </si>
  <si>
    <t>Base year</t>
    <phoneticPr fontId="5" type="noConversion"/>
  </si>
  <si>
    <t xml:space="preserve"> - Reinvestment</t>
    <phoneticPr fontId="5" type="noConversion"/>
  </si>
  <si>
    <t>FCFF</t>
  </si>
  <si>
    <t>Implied variables</t>
    <phoneticPr fontId="5" type="noConversion"/>
  </si>
  <si>
    <t>Invested capital</t>
    <phoneticPr fontId="5" type="noConversion"/>
  </si>
  <si>
    <t>ROIC</t>
    <phoneticPr fontId="5" type="noConversion"/>
  </si>
  <si>
    <t>Revenue growth rate</t>
    <phoneticPr fontId="5" type="noConversion"/>
  </si>
  <si>
    <t>PV(FCFF)</t>
    <phoneticPr fontId="5" type="noConversion"/>
  </si>
  <si>
    <t>Terminal cash flow</t>
    <phoneticPr fontId="5" type="noConversion"/>
  </si>
  <si>
    <t>Terminal value</t>
    <phoneticPr fontId="5" type="noConversion"/>
  </si>
  <si>
    <t>PV(Terminal value)</t>
    <phoneticPr fontId="5" type="noConversion"/>
  </si>
  <si>
    <t>EBIT (Operating income)</t>
    <phoneticPr fontId="5" type="noConversion"/>
  </si>
  <si>
    <t>EBIT (Operating) margin</t>
    <phoneticPr fontId="5" type="noConversion"/>
  </si>
  <si>
    <t>Riskfree rate</t>
    <phoneticPr fontId="6" type="noConversion"/>
  </si>
  <si>
    <t>Your calculated value as a percent of current price</t>
    <phoneticPr fontId="6" type="noConversion"/>
  </si>
  <si>
    <t>Operating income or EBIT</t>
  </si>
  <si>
    <t>Book value of equity</t>
  </si>
  <si>
    <t>Book value of debt</t>
  </si>
  <si>
    <t>Number of shares outstanding =</t>
  </si>
  <si>
    <t>Current stock price =</t>
  </si>
  <si>
    <t>Company name</t>
  </si>
  <si>
    <t>The value drivers below:</t>
  </si>
  <si>
    <t xml:space="preserve">Market numbers </t>
  </si>
  <si>
    <t>Sales to capital ratio  (for computing reinvestment) =</t>
  </si>
  <si>
    <t>Sales to capital ratio</t>
  </si>
  <si>
    <t>Initial cost of capital =</t>
  </si>
  <si>
    <t>Do you want to override this assumption =</t>
  </si>
  <si>
    <t>If yes, enter the return on capital you expect after year 10</t>
  </si>
  <si>
    <t>If yes, enter the cost of capital after year 10 =</t>
  </si>
  <si>
    <t>After year 10</t>
  </si>
  <si>
    <t>Value of operating assets =</t>
  </si>
  <si>
    <t>Terminal year</t>
  </si>
  <si>
    <t>PV (CF over next 10 years)</t>
  </si>
  <si>
    <t>Sum of PV</t>
  </si>
  <si>
    <t>NOL</t>
  </si>
  <si>
    <t>Compounded annual revenue growth rate over next 5 years =</t>
  </si>
  <si>
    <t>If yes, enter the NOL that you are carrying over into year 1</t>
  </si>
  <si>
    <t>Target pre-tax operating margin (EBIT as % of sales in year 10) =</t>
  </si>
  <si>
    <t>Price as % of value</t>
  </si>
  <si>
    <t>No</t>
  </si>
  <si>
    <t>Value of equity</t>
  </si>
  <si>
    <t>Mature companies find it difficult to generate returns that exceed the cost of capital</t>
  </si>
  <si>
    <t>Mature companies generally see their risk levels approach the average</t>
  </si>
  <si>
    <t>Tough to estimate but a key input.</t>
  </si>
  <si>
    <t>Check the financial statements.</t>
  </si>
  <si>
    <t>Yes</t>
  </si>
  <si>
    <t xml:space="preserve"> - Value of options</t>
  </si>
  <si>
    <t>Value of equity in common stock</t>
  </si>
  <si>
    <t>Valuing Options or Warrants</t>
  </si>
  <si>
    <t>Enter the current stock price =</t>
  </si>
  <si>
    <t>Enter the strike price on the option =</t>
  </si>
  <si>
    <t>Enter the expiration of the option =</t>
  </si>
  <si>
    <t>Enter the standard deviation in stock prices =</t>
  </si>
  <si>
    <t>(volatility)</t>
  </si>
  <si>
    <t>Enter the annualized dividend yield on stock =</t>
  </si>
  <si>
    <t>Enter the treasury bond rate =</t>
  </si>
  <si>
    <t>Enter the number of warrants (options) outstanding =</t>
  </si>
  <si>
    <t>Enter the number of shares outstanding =</t>
  </si>
  <si>
    <t>Do not input any numbers below this line</t>
  </si>
  <si>
    <t>VALUING WARRANTS WHEN THERE IS DILUTION</t>
  </si>
  <si>
    <t>Stock Price=</t>
  </si>
  <si>
    <t># Warrants issued=</t>
  </si>
  <si>
    <t>Strike Price=</t>
  </si>
  <si>
    <t># Shares outstanding=</t>
  </si>
  <si>
    <t>Adjusted S =</t>
  </si>
  <si>
    <t>T.Bond rate=</t>
  </si>
  <si>
    <t>Adjusted K =</t>
  </si>
  <si>
    <t>Variance=</t>
  </si>
  <si>
    <t>Expiration (in years) =</t>
  </si>
  <si>
    <t>Annualized dividend yield=</t>
  </si>
  <si>
    <t>Div. Adj. interest rate=</t>
  </si>
  <si>
    <t xml:space="preserve">d1 = </t>
  </si>
  <si>
    <t>N (d1) =</t>
  </si>
  <si>
    <t xml:space="preserve">d2 = </t>
  </si>
  <si>
    <t>N (d2) =</t>
  </si>
  <si>
    <t xml:space="preserve">Value per option = </t>
  </si>
  <si>
    <t>Value of all options outstanding =</t>
  </si>
  <si>
    <t>Other inputs</t>
  </si>
  <si>
    <t>Number of options outstanding =</t>
  </si>
  <si>
    <t>Average strike price =</t>
  </si>
  <si>
    <t>Average maturity =</t>
  </si>
  <si>
    <t>Standard deviation on stock price =</t>
  </si>
  <si>
    <t>Estimated value /share</t>
  </si>
  <si>
    <t>VALUATION DIAGNOSTICS</t>
  </si>
  <si>
    <t>Industry Name</t>
  </si>
  <si>
    <t>Advertising</t>
  </si>
  <si>
    <t>NA</t>
  </si>
  <si>
    <t>Sales/Capital</t>
  </si>
  <si>
    <t>There should be a check against the iteration box. If there is not, you will get circular reasoning errors.</t>
  </si>
  <si>
    <t>Price</t>
  </si>
  <si>
    <t>B</t>
  </si>
  <si>
    <t>B: Book value of capital, V= Estimated fair value for the company</t>
  </si>
  <si>
    <t>Effective tax rate =</t>
  </si>
  <si>
    <t>Marginal tax rate =</t>
  </si>
  <si>
    <t xml:space="preserve">Default assumptions. </t>
  </si>
  <si>
    <t>In stable growth, I will assume that your firm will have a cost of capital similar to that of typical mature companies (riskfree rate + 4.5%)</t>
  </si>
  <si>
    <t>I will assume that your firm will earn a return on capital equal to its cost of capital after year 10. I am assuming that whatever competitive advantages you have today will fade over time.</t>
  </si>
  <si>
    <t>If yes, enter the probability of failure =</t>
  </si>
  <si>
    <t>Probability of failure =</t>
  </si>
  <si>
    <t>Proceeds if firm fails =</t>
  </si>
  <si>
    <t>What do you want to tie your proceeds in failure to?</t>
  </si>
  <si>
    <t>This can be zero, if the assets will be worth nothing if the firm fails.</t>
  </si>
  <si>
    <t>Many young, growth companies fail, especially if they have trouble raising cash. Many distressed companies fail, because they have trouble making debt payments.</t>
  </si>
  <si>
    <t>Operating Lease Converter</t>
  </si>
  <si>
    <t>Operating lease expense in current year =</t>
  </si>
  <si>
    <t>Operating Lease Commitments (From footnote to financials)</t>
  </si>
  <si>
    <t>Year</t>
  </si>
  <si>
    <t>Commitment</t>
  </si>
  <si>
    <t>! Year 1 is next year, ….</t>
  </si>
  <si>
    <t>6 and beyond</t>
  </si>
  <si>
    <t>Output</t>
  </si>
  <si>
    <t>Pre-tax Cost of Debt =</t>
  </si>
  <si>
    <t>Number of years embedded in yr 6 estimate =</t>
  </si>
  <si>
    <t>! I use the average lease expense over the first five years</t>
  </si>
  <si>
    <t>to estimate the number of years of expenses in yr 6</t>
  </si>
  <si>
    <t>Converting Operating Leases into debt</t>
  </si>
  <si>
    <t>Present Value</t>
  </si>
  <si>
    <t>! Commitment beyond year 6 converted into an annuity for ten years</t>
  </si>
  <si>
    <t>Debt Value of leases =</t>
  </si>
  <si>
    <t>Restated Financials</t>
  </si>
  <si>
    <t>Depreciation on Operating Lease Asset =</t>
  </si>
  <si>
    <t>! I use straight line depreciation</t>
  </si>
  <si>
    <t>Adjustment to Operating Earnings =</t>
  </si>
  <si>
    <t>Adjustment to Total Debt outstanding =</t>
  </si>
  <si>
    <t>! Add this amount to pre-tax operating income</t>
  </si>
  <si>
    <t>! Add this amount to debt</t>
  </si>
  <si>
    <t>I will assume that you have no losses carried forward from prior years ( NOL) coming into the valuation. If you have a money losing company, you may want to override tis.</t>
  </si>
  <si>
    <t>I will assume that your firm has no chance of failure over the foreseeable future.</t>
  </si>
  <si>
    <t>Tax rate</t>
  </si>
  <si>
    <t>I will assume that your effective tax rate will adjust to your marginal tax rate by your terminal year. If you override this assumption, I will leave the tax rate at your effective tax rate.</t>
  </si>
  <si>
    <t>Terminal cost of capital</t>
  </si>
  <si>
    <t>Though some sectors, even in stable growth, may have higher risk.</t>
  </si>
  <si>
    <t>But there are significant exceptions among companies with long-lasting competitive advantages.</t>
  </si>
  <si>
    <t>An NOL will shield your income from taxes, even after you start making money.</t>
  </si>
  <si>
    <t>Cost of capital</t>
  </si>
  <si>
    <t>Cumulated discount factor</t>
  </si>
  <si>
    <t>Decrease the sales/capital ratio</t>
  </si>
  <si>
    <t>Increase the sales/capital ratio</t>
  </si>
  <si>
    <t>Increase the target pre-tax operating margin</t>
  </si>
  <si>
    <t>Decrease the target pre-tax operating margin</t>
  </si>
  <si>
    <t>Revenue growth rate (input cell B3)</t>
  </si>
  <si>
    <t>Last period EBIT as % of revenue (Input cell B14)</t>
  </si>
  <si>
    <t>Sales to Capital Ratio or reinvestment (Input cell B15)</t>
  </si>
  <si>
    <t>Increase relative to your cost of capital</t>
  </si>
  <si>
    <t>If higher than your cost of capital, lower towards your cost of capital</t>
  </si>
  <si>
    <t xml:space="preserve"> </t>
  </si>
  <si>
    <t>T</t>
  </si>
  <si>
    <t>Return on capital in perpetuity (B30 &amp; B31)</t>
  </si>
  <si>
    <t>The yellow cells are input cells. Please enter them.</t>
  </si>
  <si>
    <t>Annual Average Revenue growth - Last 5 years</t>
  </si>
  <si>
    <t>Average effective tax rate</t>
  </si>
  <si>
    <t>Equity (Levered) Beta</t>
  </si>
  <si>
    <t>Cost of equity</t>
  </si>
  <si>
    <t>Std deviation in stock prices</t>
  </si>
  <si>
    <t>Pre-tax cost of debt</t>
  </si>
  <si>
    <t>Market Debt/Capital</t>
  </si>
  <si>
    <t>EV/Sales</t>
  </si>
  <si>
    <t>EV/EBITDA</t>
  </si>
  <si>
    <t>EV/EBIT</t>
  </si>
  <si>
    <t>Price/Book</t>
  </si>
  <si>
    <t>Trailing PE</t>
  </si>
  <si>
    <t>Number of firms</t>
  </si>
  <si>
    <t>Revenue growth in the most recent year =</t>
  </si>
  <si>
    <t>Pre-tax operating margin in the most recent year =</t>
  </si>
  <si>
    <t>Sales to capital ratio in most recent year =</t>
  </si>
  <si>
    <t>Return on invested capital in most recent year=</t>
  </si>
  <si>
    <t>This year</t>
  </si>
  <si>
    <t>Last year</t>
  </si>
  <si>
    <t>After-tax ROC</t>
  </si>
  <si>
    <t>Estimation of Current Cost of Capital</t>
  </si>
  <si>
    <t>Equity</t>
  </si>
  <si>
    <t>Number of Shares outstanding =</t>
  </si>
  <si>
    <t>Current Market Price per share =</t>
  </si>
  <si>
    <t>Riskfree Rate =</t>
  </si>
  <si>
    <t>Debt</t>
  </si>
  <si>
    <t>Book Value of Straight Debt =</t>
  </si>
  <si>
    <t>Interest Expense on Debt =</t>
  </si>
  <si>
    <t>Average Maturity =</t>
  </si>
  <si>
    <t>Tax Rate =</t>
  </si>
  <si>
    <t>Book Value of Convertible Debt =</t>
  </si>
  <si>
    <t>Interest Expense on Convertible =</t>
  </si>
  <si>
    <t>Maturity of Convertible Bond =</t>
  </si>
  <si>
    <t>Market Value of Convertible =</t>
  </si>
  <si>
    <t>Debt value of operating leases =</t>
  </si>
  <si>
    <t>Preferred Stock</t>
  </si>
  <si>
    <t>Number of Preferred Shares =</t>
  </si>
  <si>
    <t>Current Market Price per Share=</t>
  </si>
  <si>
    <t>Annual Dividend per Share =</t>
  </si>
  <si>
    <t>Estimating Market Value of Straight Debt =</t>
  </si>
  <si>
    <t>Estimated Value of Straight Debt in Convertible =</t>
  </si>
  <si>
    <t>Value of Debt in Operating leases =</t>
  </si>
  <si>
    <t>Estimated Value of Equity in Convertible =</t>
  </si>
  <si>
    <t xml:space="preserve">Debt </t>
  </si>
  <si>
    <t>Capital</t>
  </si>
  <si>
    <t>Market Value</t>
  </si>
  <si>
    <t>Weight in Cost of Capital</t>
  </si>
  <si>
    <t>Cost of Component</t>
  </si>
  <si>
    <t>Unlevered beta =</t>
  </si>
  <si>
    <t>Unlevered Beta</t>
  </si>
  <si>
    <t>Levered Beta for equity =</t>
  </si>
  <si>
    <t>Inputs for synthetic rating estimation</t>
  </si>
  <si>
    <t>Please read the special cases worksheet (see below) before you use this spreadsheet.</t>
  </si>
  <si>
    <t>Before you use this spreadsheet, make sure that the iteration box (under calculation options in excel) is checked.</t>
  </si>
  <si>
    <t>Enter the type of firm =</t>
  </si>
  <si>
    <t>Enter current Earnings before interest and taxes (EBIT) =</t>
  </si>
  <si>
    <t>(Add back only long term interest expense for financial firms)</t>
  </si>
  <si>
    <t>Enter current interest expenses =</t>
  </si>
  <si>
    <t>(Use only long term interest expense for financial firms)</t>
  </si>
  <si>
    <t>Interest  coverage ratio =</t>
  </si>
  <si>
    <t>Estimated Bond Rating =</t>
  </si>
  <si>
    <t>Note: If you get REF! All over the place, set the operating lease commitment question in cell F5</t>
  </si>
  <si>
    <t>to No, and then reset it to Yes. It should work.</t>
  </si>
  <si>
    <t>Estimated Cost of Debt =</t>
  </si>
  <si>
    <t xml:space="preserve"> If you want to update the spreads listed below, please visit http://www.bondsonline.com</t>
    <phoneticPr fontId="9"/>
  </si>
  <si>
    <t>For large manufacturing firms</t>
  </si>
  <si>
    <t>If interest coverage ratio is</t>
  </si>
  <si>
    <t>&gt;</t>
  </si>
  <si>
    <t>≤ to</t>
  </si>
  <si>
    <t>Rating is</t>
  </si>
  <si>
    <t>Spread is</t>
  </si>
  <si>
    <t>greater than</t>
  </si>
  <si>
    <t>For smaller and riskier firms</t>
  </si>
  <si>
    <t>Enter long term risk free rate  =</t>
  </si>
  <si>
    <t>! If you do not have a cost of debt, use the synthetic rating estimator</t>
  </si>
  <si>
    <t>V</t>
  </si>
  <si>
    <t>Enter the distress proceeds as percentage of book or fair value</t>
  </si>
  <si>
    <t>Average WACC over the 10 years (compounded)</t>
  </si>
  <si>
    <t>Company</t>
  </si>
  <si>
    <t>Yes/No</t>
  </si>
  <si>
    <t>Industry (US data)</t>
  </si>
  <si>
    <t>Book or Market Value</t>
  </si>
  <si>
    <t>Computed numbers: Here is what your company's numbers look like, relative to industry.</t>
  </si>
  <si>
    <t>Do you have operating lease commitments?</t>
  </si>
  <si>
    <t>Cash and cross holdings</t>
  </si>
  <si>
    <t>Do you have employee options outstanding?</t>
  </si>
  <si>
    <t>If you have operating leases, please enter your lease commitments in the lease worksheet below and I will convert to debt</t>
  </si>
  <si>
    <t>Albania</t>
  </si>
  <si>
    <t>Angola</t>
  </si>
  <si>
    <t>Argentina</t>
  </si>
  <si>
    <t>Armenia</t>
  </si>
  <si>
    <t>Aruba</t>
  </si>
  <si>
    <t>Australia</t>
  </si>
  <si>
    <t>Austria</t>
  </si>
  <si>
    <t>Bahamas</t>
  </si>
  <si>
    <t>Bahrain</t>
  </si>
  <si>
    <t>Bangladesh</t>
  </si>
  <si>
    <t>Barbados</t>
  </si>
  <si>
    <t>Belarus</t>
  </si>
  <si>
    <t>Belgium</t>
  </si>
  <si>
    <t>Bermuda</t>
  </si>
  <si>
    <t>Bolivia</t>
  </si>
  <si>
    <t>Bosnia and Herzegovina</t>
  </si>
  <si>
    <t>Botswana</t>
  </si>
  <si>
    <t>Brazil</t>
  </si>
  <si>
    <t>Bulgaria</t>
  </si>
  <si>
    <t>Cambodia</t>
  </si>
  <si>
    <t>Canada</t>
  </si>
  <si>
    <t>Cayman Islands</t>
  </si>
  <si>
    <t>Chile</t>
  </si>
  <si>
    <t>China</t>
  </si>
  <si>
    <t>Colombia</t>
  </si>
  <si>
    <t>Costa Rica</t>
  </si>
  <si>
    <t>Croatia</t>
  </si>
  <si>
    <t>Cyprus</t>
  </si>
  <si>
    <t>Czech Republic</t>
  </si>
  <si>
    <t>Denmark</t>
  </si>
  <si>
    <t>Dominican Republic</t>
  </si>
  <si>
    <t>Ecuador</t>
  </si>
  <si>
    <t>Egypt</t>
  </si>
  <si>
    <t>Estonia</t>
  </si>
  <si>
    <t>Fiji</t>
  </si>
  <si>
    <t>Finland</t>
  </si>
  <si>
    <t>France</t>
  </si>
  <si>
    <t>Germany</t>
  </si>
  <si>
    <t>Greece</t>
  </si>
  <si>
    <t>Guatemala</t>
  </si>
  <si>
    <t>Honduras</t>
  </si>
  <si>
    <t>Hong Kong</t>
  </si>
  <si>
    <t>Hungary</t>
  </si>
  <si>
    <t>Iceland</t>
  </si>
  <si>
    <t>India</t>
  </si>
  <si>
    <t>Indonesia</t>
  </si>
  <si>
    <t>Ireland</t>
  </si>
  <si>
    <t>Isle of Man</t>
  </si>
  <si>
    <t>Israel</t>
  </si>
  <si>
    <t>Italy</t>
  </si>
  <si>
    <t>Jamaica</t>
  </si>
  <si>
    <t>Japan</t>
  </si>
  <si>
    <t>Jordan</t>
  </si>
  <si>
    <t>Kazakhstan</t>
  </si>
  <si>
    <t>Kuwait</t>
  </si>
  <si>
    <t>Latvia</t>
  </si>
  <si>
    <t>Liechtenstein</t>
  </si>
  <si>
    <t>Lithuania</t>
  </si>
  <si>
    <t>Luxembourg</t>
  </si>
  <si>
    <t>Macedonia</t>
  </si>
  <si>
    <t>Malaysia</t>
  </si>
  <si>
    <t>Malta</t>
  </si>
  <si>
    <t>Mauritius</t>
  </si>
  <si>
    <t>Mexico</t>
  </si>
  <si>
    <t>Montenegro</t>
  </si>
  <si>
    <t>Mozambique</t>
  </si>
  <si>
    <t>Namibia</t>
  </si>
  <si>
    <t>Netherlands</t>
  </si>
  <si>
    <t>New Zealand</t>
  </si>
  <si>
    <t>Nigeria</t>
  </si>
  <si>
    <t>Norway</t>
  </si>
  <si>
    <t>Oman</t>
  </si>
  <si>
    <t>Pakistan</t>
  </si>
  <si>
    <t>Panama</t>
  </si>
  <si>
    <t>Papua New Guinea</t>
  </si>
  <si>
    <t>Paraguay</t>
  </si>
  <si>
    <t>Peru</t>
  </si>
  <si>
    <t>Philippines</t>
  </si>
  <si>
    <t>Poland</t>
  </si>
  <si>
    <t>Portugal</t>
  </si>
  <si>
    <t>Qatar</t>
  </si>
  <si>
    <t>Romania</t>
  </si>
  <si>
    <t>Russia</t>
  </si>
  <si>
    <t>Saudi Arabia</t>
  </si>
  <si>
    <t>Serbia</t>
  </si>
  <si>
    <t>Singapore</t>
  </si>
  <si>
    <t>Slovenia</t>
  </si>
  <si>
    <t>South Africa</t>
  </si>
  <si>
    <t>Spain</t>
  </si>
  <si>
    <t>Sri Lanka</t>
  </si>
  <si>
    <t>Sweden</t>
  </si>
  <si>
    <t>Switzerland</t>
  </si>
  <si>
    <t>Taiwan</t>
  </si>
  <si>
    <t>Thailand</t>
  </si>
  <si>
    <t>Tunisia</t>
  </si>
  <si>
    <t>Turkey</t>
  </si>
  <si>
    <t>Ukraine</t>
  </si>
  <si>
    <t>United Arab Emirates</t>
  </si>
  <si>
    <t>United Kingdom</t>
  </si>
  <si>
    <t>United States</t>
  </si>
  <si>
    <t>Uruguay</t>
  </si>
  <si>
    <t>Venezuela</t>
  </si>
  <si>
    <t>Vietnam</t>
  </si>
  <si>
    <t>Zambia</t>
  </si>
  <si>
    <t>Country</t>
  </si>
  <si>
    <t>Adj. Default Spread</t>
  </si>
  <si>
    <t>Country Risk Premium</t>
  </si>
  <si>
    <t>Region</t>
  </si>
  <si>
    <t>Western Europe</t>
  </si>
  <si>
    <t>Eastern Europe &amp; Russia</t>
  </si>
  <si>
    <t>Africa</t>
  </si>
  <si>
    <t>Central and South America</t>
  </si>
  <si>
    <t>Australia &amp; New Zealand</t>
  </si>
  <si>
    <t>Azerbaijan</t>
  </si>
  <si>
    <t>Caribbean</t>
  </si>
  <si>
    <t>Middle East</t>
  </si>
  <si>
    <t>Belize</t>
  </si>
  <si>
    <t>North America</t>
  </si>
  <si>
    <t>Cuba</t>
  </si>
  <si>
    <t>El Salvador</t>
  </si>
  <si>
    <t>Georgia</t>
  </si>
  <si>
    <t>Lebanon</t>
  </si>
  <si>
    <t>Moldova</t>
  </si>
  <si>
    <t>Mongolia</t>
  </si>
  <si>
    <t>Morocco</t>
  </si>
  <si>
    <t>Nicaragua</t>
  </si>
  <si>
    <t>Senegal</t>
  </si>
  <si>
    <t>Slovakia</t>
  </si>
  <si>
    <t>St. Vincent &amp; the Grenadines</t>
  </si>
  <si>
    <t>Suriname</t>
  </si>
  <si>
    <t>United States of America</t>
  </si>
  <si>
    <t>ERP</t>
  </si>
  <si>
    <t>Weighted ERP</t>
  </si>
  <si>
    <t>Weight</t>
  </si>
  <si>
    <t>Total</t>
  </si>
  <si>
    <t>Cost of capital =</t>
  </si>
  <si>
    <t>Standard deviation in stock prices =</t>
  </si>
  <si>
    <t>Date of valuation</t>
  </si>
  <si>
    <r>
      <rPr>
        <b/>
        <sz val="10"/>
        <rFont val="Helv"/>
      </rPr>
      <t>Important:</t>
    </r>
    <r>
      <rPr>
        <sz val="10"/>
        <rFont val="Helv"/>
      </rPr>
      <t xml:space="preserve"> Before you run this spreadsheet, go into preferences in Excel and check under Calculation options</t>
    </r>
  </si>
  <si>
    <t xml:space="preserve">Non-operating assets </t>
  </si>
  <si>
    <t xml:space="preserve"> + Non-operating assets</t>
  </si>
  <si>
    <t xml:space="preserve"> +  Cash</t>
  </si>
  <si>
    <t xml:space="preserve"> - Debt</t>
  </si>
  <si>
    <t>Minority interests</t>
  </si>
  <si>
    <t xml:space="preserve"> - Minority interests</t>
  </si>
  <si>
    <t>Business</t>
  </si>
  <si>
    <t>Estimated Value</t>
  </si>
  <si>
    <t>Last 10K</t>
  </si>
  <si>
    <t>Trailing 12 month</t>
  </si>
  <si>
    <t>Lease commitments</t>
  </si>
  <si>
    <t>Year 1</t>
  </si>
  <si>
    <t>Year 2</t>
  </si>
  <si>
    <t>Year 3</t>
  </si>
  <si>
    <t>Year 4</t>
  </si>
  <si>
    <t>Year 5</t>
  </si>
  <si>
    <t>Beyond year 5</t>
  </si>
  <si>
    <t>R &amp; D Converter</t>
  </si>
  <si>
    <t>This spreadsheet converts R&amp;D expenses from operating to capital expenses. It makes the appropriate adjustments to operating income, net</t>
  </si>
  <si>
    <t>income, the book value of assets and the book value of equity.</t>
  </si>
  <si>
    <t>Over how many years do you want to amortize R&amp;D expenses</t>
  </si>
  <si>
    <t>! If in doubt, use the lookup table below</t>
  </si>
  <si>
    <t>Enter the current year's R&amp;D expense =</t>
  </si>
  <si>
    <t>The maximum allowed is ten years</t>
  </si>
  <si>
    <t>Enter R&amp; D expenses for past years: the number of years that you will need to enter will be determined by the amortization period</t>
  </si>
  <si>
    <t>Do not input numbers in the first column (Year). It will get automatically updated  based on the input above.</t>
  </si>
  <si>
    <t>R&amp; D Expenses</t>
  </si>
  <si>
    <t>! Year -1 is the year prior to the current year</t>
  </si>
  <si>
    <t>! Year -2 is the two years prior to the current year</t>
  </si>
  <si>
    <t>R&amp;D Expense</t>
  </si>
  <si>
    <t>Unamortized portion</t>
  </si>
  <si>
    <t>Amortization this year</t>
  </si>
  <si>
    <t>Current</t>
  </si>
  <si>
    <t>Value of Research Asset =</t>
  </si>
  <si>
    <t>Amortization of asset for current year =</t>
  </si>
  <si>
    <t>Adjustment to Operating Income =</t>
  </si>
  <si>
    <t>! A positive number indicates an increase in operating income (add to reported EBIT)</t>
  </si>
  <si>
    <t>Tax Effect of R&amp;D Expensing</t>
  </si>
  <si>
    <t>R&amp;D expense</t>
  </si>
  <si>
    <t>Do you have R&amp;D expenses to capitalize?</t>
  </si>
  <si>
    <t xml:space="preserve"> If you want to capitalize R&amp;D, you have to input the numbers into the R&amp;D worksheet. </t>
  </si>
  <si>
    <t>First X months: Last year</t>
  </si>
  <si>
    <t>First X months: Current year</t>
  </si>
  <si>
    <t>If you are not working in US dollars, you should add the inflation differential to the industry averages.</t>
  </si>
  <si>
    <t>Numbers from your base year below ( in consistent units)</t>
  </si>
  <si>
    <t>Asia</t>
  </si>
  <si>
    <t>Kenya</t>
  </si>
  <si>
    <t>St. Maarten</t>
  </si>
  <si>
    <t>Uganda</t>
  </si>
  <si>
    <t>Industry (US)</t>
  </si>
  <si>
    <t>Industry (Global)</t>
  </si>
  <si>
    <t>Industry (Global data)</t>
  </si>
  <si>
    <t>Interest expense</t>
  </si>
  <si>
    <t>Interest expenses</t>
  </si>
  <si>
    <t>What approach do you want to use to input ERP?</t>
  </si>
  <si>
    <t>ERP choices</t>
  </si>
  <si>
    <t>Will input</t>
  </si>
  <si>
    <t>Operating countries</t>
  </si>
  <si>
    <t>Operating regions</t>
  </si>
  <si>
    <t>Country of incorporation</t>
  </si>
  <si>
    <t>Direct input for ERP (if you choose "will input"</t>
  </si>
  <si>
    <t>Equity Risk Premium used in cost of equity =</t>
  </si>
  <si>
    <t>Operating Regions ERP calculator</t>
  </si>
  <si>
    <t>Cost of debt</t>
  </si>
  <si>
    <t>Direct input</t>
  </si>
  <si>
    <t>Synthetic rating</t>
  </si>
  <si>
    <t>Actual rating</t>
  </si>
  <si>
    <t>Approach for estimating pre-tax cost of debt</t>
  </si>
  <si>
    <t>If actual rating, input the rating</t>
  </si>
  <si>
    <t>If direct input, input the pre-tax cost of debt</t>
  </si>
  <si>
    <t>D2/D</t>
  </si>
  <si>
    <t>Caa/CCC</t>
  </si>
  <si>
    <t>Ca2/CC</t>
  </si>
  <si>
    <t>C2/C</t>
  </si>
  <si>
    <t>B3/B-</t>
  </si>
  <si>
    <t>B2/B</t>
  </si>
  <si>
    <t>B1/B+</t>
  </si>
  <si>
    <t>Ba2/BB</t>
  </si>
  <si>
    <t>Ba1/BB+</t>
  </si>
  <si>
    <t>Baa2/BBB</t>
  </si>
  <si>
    <t>A3/A-</t>
  </si>
  <si>
    <t>A2/A</t>
  </si>
  <si>
    <t>A1/A+</t>
  </si>
  <si>
    <t>Aa2/AA</t>
  </si>
  <si>
    <t>Aaa/AAA</t>
  </si>
  <si>
    <t>If synethetic rating, input the type of company</t>
  </si>
  <si>
    <t>Estimated Company Default Spread =</t>
  </si>
  <si>
    <t>Estimated County Default Spread (if any) =</t>
  </si>
  <si>
    <t>Approach for estimating beta</t>
  </si>
  <si>
    <t>Beta</t>
  </si>
  <si>
    <t>If direct input, enter levered beta (or regression beta)</t>
  </si>
  <si>
    <t>Multi Business (US Industry Averages)</t>
  </si>
  <si>
    <t>Multi Business (Global Industry Averages)</t>
  </si>
  <si>
    <t>Multibusiness(Global)</t>
  </si>
  <si>
    <t>Single Business(US)</t>
  </si>
  <si>
    <t>Single Business(Global)</t>
  </si>
  <si>
    <t>Multibusiness(US)</t>
  </si>
  <si>
    <t>ROE</t>
  </si>
  <si>
    <t>Abu Dhabi</t>
  </si>
  <si>
    <t>Burkina Faso</t>
  </si>
  <si>
    <t>Cameroon</t>
  </si>
  <si>
    <t>Cape Verde</t>
  </si>
  <si>
    <t>Cook Islands</t>
  </si>
  <si>
    <t>Gabon</t>
  </si>
  <si>
    <t>Ghana</t>
  </si>
  <si>
    <t>Kyrgyzstan</t>
  </si>
  <si>
    <t>Montserrat</t>
  </si>
  <si>
    <t>Rwanda</t>
  </si>
  <si>
    <t>Global</t>
  </si>
  <si>
    <t>Adjustment to Depreciation =</t>
  </si>
  <si>
    <t>Korea</t>
  </si>
  <si>
    <t>Non-cash WC as % of Revenues</t>
  </si>
  <si>
    <t>Cap Ex as % of Revenues</t>
  </si>
  <si>
    <t>Net Cap Ex as % of Revenues</t>
  </si>
  <si>
    <t>Reinvestment Rate</t>
  </si>
  <si>
    <t>Dividend Payout Ratio</t>
  </si>
  <si>
    <t>Equity Reinvestment Rate</t>
  </si>
  <si>
    <t>Andorra (Principality of)</t>
  </si>
  <si>
    <t>Congo (Democratic Republic of)</t>
  </si>
  <si>
    <t>Congo (Republic of)</t>
  </si>
  <si>
    <t>Ethiopia</t>
  </si>
  <si>
    <t>Guernsey (States of)</t>
  </si>
  <si>
    <t>Jersey (States of)</t>
  </si>
  <si>
    <t>Ras Al Khaimah (Emirate of)</t>
  </si>
  <si>
    <t>Sharjah</t>
  </si>
  <si>
    <t>Aerospace/Defense</t>
  </si>
  <si>
    <t>Air Transport</t>
  </si>
  <si>
    <t>Apparel</t>
  </si>
  <si>
    <t>Auto &amp; Truck</t>
  </si>
  <si>
    <t>Auto Parts</t>
  </si>
  <si>
    <t>Bank (Money Center)</t>
  </si>
  <si>
    <t>Banks (Regional)</t>
  </si>
  <si>
    <t>Beverage (Alcoholic)</t>
  </si>
  <si>
    <t>Beverage (Soft)</t>
  </si>
  <si>
    <t>Broadcasting</t>
  </si>
  <si>
    <t>Brokerage &amp; Investment Banking</t>
  </si>
  <si>
    <t>Building Materials</t>
  </si>
  <si>
    <t>Business &amp; Consumer Services</t>
  </si>
  <si>
    <t>Cable TV</t>
  </si>
  <si>
    <t>Chemical (Basic)</t>
  </si>
  <si>
    <t>Chemical (Diversified)</t>
  </si>
  <si>
    <t>Chemical (Specialty)</t>
  </si>
  <si>
    <t>Coal &amp; Related Energy</t>
  </si>
  <si>
    <t>Computer Services</t>
  </si>
  <si>
    <t>Computers/Peripherals</t>
  </si>
  <si>
    <t>Construction Supplies</t>
  </si>
  <si>
    <t>Diversified</t>
  </si>
  <si>
    <t>Drugs (Biotechnology)</t>
  </si>
  <si>
    <t>Drugs (Pharmaceutical)</t>
  </si>
  <si>
    <t>Education</t>
  </si>
  <si>
    <t>Electrical Equipment</t>
  </si>
  <si>
    <t>Electronics (Consumer &amp; Office)</t>
  </si>
  <si>
    <t>Electronics (General)</t>
  </si>
  <si>
    <t>Engineering/Construction</t>
  </si>
  <si>
    <t>Entertainment</t>
  </si>
  <si>
    <t>Environmental &amp; Waste Services</t>
  </si>
  <si>
    <t>Farming/Agriculture</t>
  </si>
  <si>
    <t>Financial Svcs. (Non-bank &amp; Insurance)</t>
  </si>
  <si>
    <t>Food Processing</t>
  </si>
  <si>
    <t>Food Wholesalers</t>
  </si>
  <si>
    <t>Furn/Home Furnishings</t>
  </si>
  <si>
    <t>Green &amp; Renewable Energy</t>
  </si>
  <si>
    <t>Healthcare Products</t>
  </si>
  <si>
    <t>Healthcare Support Services</t>
  </si>
  <si>
    <t>Heathcare Information and Technology</t>
  </si>
  <si>
    <t>Homebuilding</t>
  </si>
  <si>
    <t>Hospitals/Healthcare Facilities</t>
  </si>
  <si>
    <t>Hotel/Gaming</t>
  </si>
  <si>
    <t>Household Products</t>
  </si>
  <si>
    <t>Information Services</t>
  </si>
  <si>
    <t>Insurance (General)</t>
  </si>
  <si>
    <t>Insurance (Life)</t>
  </si>
  <si>
    <t>Insurance (Prop/Cas.)</t>
  </si>
  <si>
    <t>Investments &amp; Asset Management</t>
  </si>
  <si>
    <t>Machinery</t>
  </si>
  <si>
    <t>Metals &amp; Mining</t>
  </si>
  <si>
    <t>Office Equipment &amp; Services</t>
  </si>
  <si>
    <t>Oil/Gas (Integrated)</t>
  </si>
  <si>
    <t>Oil/Gas (Production and Exploration)</t>
  </si>
  <si>
    <t>Oil/Gas Distribution</t>
  </si>
  <si>
    <t>Oilfield Svcs/Equip.</t>
  </si>
  <si>
    <t>Packaging &amp; Container</t>
  </si>
  <si>
    <t>Paper/Forest Products</t>
  </si>
  <si>
    <t>Power</t>
  </si>
  <si>
    <t>Precious Metals</t>
  </si>
  <si>
    <t>R.E.I.T.</t>
  </si>
  <si>
    <t>Real Estate (Development)</t>
  </si>
  <si>
    <t>Real Estate (General/Diversified)</t>
  </si>
  <si>
    <t>Real Estate (Operations &amp; Services)</t>
  </si>
  <si>
    <t>Recreation</t>
  </si>
  <si>
    <t>Reinsurance</t>
  </si>
  <si>
    <t>Restaurant/Dining</t>
  </si>
  <si>
    <t>Retail (Automotive)</t>
  </si>
  <si>
    <t>Retail (Building Supply)</t>
  </si>
  <si>
    <t>Retail (Distributors)</t>
  </si>
  <si>
    <t>Retail (General)</t>
  </si>
  <si>
    <t>Retail (Grocery and Food)</t>
  </si>
  <si>
    <t>Retail (Online)</t>
  </si>
  <si>
    <t>Retail (Special Lines)</t>
  </si>
  <si>
    <t>Rubber&amp; Tires</t>
  </si>
  <si>
    <t>Semiconductor</t>
  </si>
  <si>
    <t>Semiconductor Equip</t>
  </si>
  <si>
    <t>Shipbuilding &amp; Marine</t>
  </si>
  <si>
    <t>Shoe</t>
  </si>
  <si>
    <t>Software (Entertainment)</t>
  </si>
  <si>
    <t>Software (Internet)</t>
  </si>
  <si>
    <t>Software (System &amp; Application)</t>
  </si>
  <si>
    <t>Steel</t>
  </si>
  <si>
    <t>Telecom (Wireless)</t>
  </si>
  <si>
    <t>Telecom. Equipment</t>
  </si>
  <si>
    <t>Telecom. Services</t>
  </si>
  <si>
    <t>Tobacco</t>
  </si>
  <si>
    <t>Transportation</t>
  </si>
  <si>
    <t>Transportation (Railroads)</t>
  </si>
  <si>
    <t>Trucking</t>
  </si>
  <si>
    <t>Utility (General)</t>
  </si>
  <si>
    <t>Utility (Water)</t>
  </si>
  <si>
    <t>Operating Countries ERP calculator</t>
  </si>
  <si>
    <t>Cash and Marketable Securities</t>
  </si>
  <si>
    <t>Cross holdings and other non-operating assets</t>
  </si>
  <si>
    <t>Profitability Lever</t>
  </si>
  <si>
    <t>Efficency of Growth Lever</t>
  </si>
  <si>
    <t>Growth Lever</t>
  </si>
  <si>
    <t>Valuation Output Feedback (for you to use to fine tune your inputs, if you want)</t>
  </si>
  <si>
    <t>Revenues in year 10, based on your revenue growth =</t>
  </si>
  <si>
    <t>Return on invested capital in year 10, based on your sales/capital ratio =</t>
  </si>
  <si>
    <t>Pre-tax Operating Income in year 10, based on your operating margin =</t>
  </si>
  <si>
    <t>Check the Diagnostics worksheet for more details.</t>
  </si>
  <si>
    <t>Do you want to override this assumption</t>
  </si>
  <si>
    <t>&amp; Average tax rate of the foreign markets where the cash is trapped</t>
  </si>
  <si>
    <t>Corporate Tax Rate</t>
  </si>
  <si>
    <t>I will assume that the growth rate in perpetuity will be equal to the risk free rate. This allows for both valuation consistency and prevents "impossible" growth rates.</t>
  </si>
  <si>
    <t>If yes, enter the growth rate in perpetuity</t>
  </si>
  <si>
    <t>This can be negative, if you feel the company will decline (and disappear) after growth is done. If you let it exceed the risk free rate, you are on your own in uncharted territory.</t>
  </si>
  <si>
    <t>Value per share</t>
  </si>
  <si>
    <t>Years since last 10K</t>
  </si>
  <si>
    <t>I have assumed that none of the cash is trapped (in foreign countries) and that there is no additional tax liability coming due and that cash is a neutral asset.</t>
  </si>
  <si>
    <t>Cash that is trapped in foreign markets (and subject to additoinal tax) or cash that is being discounted by the market (because of management mistrust)</t>
  </si>
  <si>
    <t>Additional tax rate due on trapped cash or discount being applied to cash balance because of mistrust.</t>
  </si>
  <si>
    <t>If yes, enter trapped cash (if taxes) or entire balance (if mistrust)</t>
  </si>
  <si>
    <t>The Assumptions</t>
  </si>
  <si>
    <t>Base year</t>
  </si>
  <si>
    <t>Years 1-5</t>
  </si>
  <si>
    <t>Years 6-10</t>
  </si>
  <si>
    <t>Operating Margin</t>
  </si>
  <si>
    <t>The Cash Flows</t>
  </si>
  <si>
    <t>EBIT (1-t)</t>
  </si>
  <si>
    <t>The Value</t>
  </si>
  <si>
    <t>Terminal value</t>
  </si>
  <si>
    <t>PV(Terminal value)</t>
  </si>
  <si>
    <t>Link to story</t>
  </si>
  <si>
    <t>Revenues (a)</t>
  </si>
  <si>
    <t>Operating margin (b)</t>
  </si>
  <si>
    <t>Reinvestment (c )</t>
  </si>
  <si>
    <t>Cost of capital (d)</t>
  </si>
  <si>
    <t xml:space="preserve">Reinvestment </t>
  </si>
  <si>
    <t>Number of shares</t>
  </si>
  <si>
    <t>Sales to capital ratio =</t>
  </si>
  <si>
    <t>EBIT</t>
  </si>
  <si>
    <t>Adjustment for distress</t>
  </si>
  <si>
    <t xml:space="preserve"> - Debt &amp; Mnority Interests</t>
  </si>
  <si>
    <t xml:space="preserve"> + Cash &amp; Other Non-operating assets</t>
  </si>
  <si>
    <t xml:space="preserve"> - Value of equity options</t>
  </si>
  <si>
    <t>Stock was trading at =</t>
  </si>
  <si>
    <t>Tell your story about the company. Keep it focuses on the company's businesses and tie it into the three key levers of value: cash flows, growth and risk</t>
  </si>
  <si>
    <t>Tie each assumption to the part of your story that relates to it.</t>
  </si>
  <si>
    <t>These are the numbers that come from your assumptions. The revenues over time reflect your revenue growth, the operating margins evolve towards your target margin and your tax rate will change, if you have set it to. The reinvestment is estimated using the sales to capital ratio for the first 10 years and based on a reinvestment rate in stable growth (g/ ROC).</t>
  </si>
  <si>
    <t>Return on capital</t>
  </si>
  <si>
    <t>Marginal ROIC =</t>
  </si>
  <si>
    <t>RIR =</t>
  </si>
  <si>
    <t>This is the output from your valuation. It reflects your cash flows being discounted back at the cost of capital to get to your operating asset value, which then gets adjusted for the likelihood that your firm will not make it. We add cash and non-operating assets, subtract out debt and minority interests to get to value of equity.</t>
  </si>
  <si>
    <t>Publishing &amp; Newspapers</t>
  </si>
  <si>
    <t>Iraq</t>
  </si>
  <si>
    <t>The last two rows in each of country/region risk premium tables is set aside for your input to provide you with flexibility to enter some numbers directly. For instance, assume that you have a company that breaks its revenues down into three countries and then puts the rest into "Rest of the World". You can enter the "Rest of the World" in one of these two rows and enter an equity risk premium for the rest of the world. The easiest way to do that is to go into the country equity risk premium worksheet and change the GDP for the three countries that you have data for to zero and compute the global weighted average ERP for the remaining countries. With the regional worksheet, you can use the last two rows to enter the data for an individual country (usually the domestic country) that might be broken out though the rest of the revenues are broken down by region. You can look up the ERP for the country in the country ERP worksheet.</t>
  </si>
  <si>
    <t>Current year's lease expense</t>
  </si>
  <si>
    <t>Copy into operating lease worksheet</t>
  </si>
  <si>
    <t>Revenue Growth Rate</t>
  </si>
  <si>
    <t>Pre-Tax Operating Income</t>
  </si>
  <si>
    <t>Taxes</t>
  </si>
  <si>
    <t>After-Tax Operating Income</t>
  </si>
  <si>
    <t>Change in Revenues</t>
  </si>
  <si>
    <t>Sales to Capital</t>
  </si>
  <si>
    <t>Reinvestment</t>
  </si>
  <si>
    <t>Capital Invested</t>
  </si>
  <si>
    <t>Implied ROC</t>
  </si>
  <si>
    <t>Cost of Equity</t>
  </si>
  <si>
    <t>Pre-Tax Cost of Debt</t>
  </si>
  <si>
    <t>Tax Savings</t>
  </si>
  <si>
    <t>After-Tax Cost of Debt</t>
  </si>
  <si>
    <t>Debt Ratio</t>
  </si>
  <si>
    <t>Cost of Capital</t>
  </si>
  <si>
    <t>Traling 12 month</t>
  </si>
  <si>
    <t>Pre-Tax Operating Margin</t>
  </si>
  <si>
    <t>Cumulated Cost of Capital</t>
  </si>
  <si>
    <t>Terminal Value</t>
  </si>
  <si>
    <t>Year of convergence</t>
  </si>
  <si>
    <t>Speed of convergence level</t>
  </si>
  <si>
    <t>Moody's rating</t>
  </si>
  <si>
    <t>Equity Risk Premium</t>
  </si>
  <si>
    <t>Aa2</t>
  </si>
  <si>
    <t>B1</t>
  </si>
  <si>
    <t>Algeria</t>
  </si>
  <si>
    <t>Baa2</t>
  </si>
  <si>
    <t>B2</t>
  </si>
  <si>
    <t>Anguilla</t>
  </si>
  <si>
    <t>Antigua &amp; Barbuda</t>
  </si>
  <si>
    <t>Baa1</t>
  </si>
  <si>
    <t>Aaa</t>
  </si>
  <si>
    <t>Aa1</t>
  </si>
  <si>
    <t>Ba2</t>
  </si>
  <si>
    <t>Baa3</t>
  </si>
  <si>
    <t>Ba3</t>
  </si>
  <si>
    <t>Caa3</t>
  </si>
  <si>
    <t>Caa1</t>
  </si>
  <si>
    <t>Aa3</t>
  </si>
  <si>
    <t>B3</t>
  </si>
  <si>
    <t>Benin</t>
  </si>
  <si>
    <t>A2</t>
  </si>
  <si>
    <t>British Virgin Islands</t>
  </si>
  <si>
    <t>Brunei</t>
  </si>
  <si>
    <t>Channel Islands</t>
  </si>
  <si>
    <t>A1</t>
  </si>
  <si>
    <t>Caa2</t>
  </si>
  <si>
    <t>Ivory Coast</t>
  </si>
  <si>
    <t>Curaçao</t>
  </si>
  <si>
    <t>A3</t>
  </si>
  <si>
    <t>Falkland Islands</t>
  </si>
  <si>
    <t>Gambia</t>
  </si>
  <si>
    <t>Gibraltar</t>
  </si>
  <si>
    <t>Greenland</t>
  </si>
  <si>
    <t>Ba1</t>
  </si>
  <si>
    <t>Guinea</t>
  </si>
  <si>
    <t>Guinea-Bissau</t>
  </si>
  <si>
    <t>Guyana</t>
  </si>
  <si>
    <t>Haiti</t>
  </si>
  <si>
    <t>Iran</t>
  </si>
  <si>
    <t>Korea, D.P.R.</t>
  </si>
  <si>
    <t>Laos</t>
  </si>
  <si>
    <t>Liberia</t>
  </si>
  <si>
    <t>Libya</t>
  </si>
  <si>
    <t>Macau</t>
  </si>
  <si>
    <t>Madagascar</t>
  </si>
  <si>
    <t>Malawi</t>
  </si>
  <si>
    <t>Mali</t>
  </si>
  <si>
    <t>Myanmar</t>
  </si>
  <si>
    <t>Netherlands Antilles</t>
  </si>
  <si>
    <t>Niger</t>
  </si>
  <si>
    <t>Palestinian Authority</t>
  </si>
  <si>
    <t>Reunion</t>
  </si>
  <si>
    <t>Saint Lucia</t>
  </si>
  <si>
    <t>Sierra Leone</t>
  </si>
  <si>
    <t>Solomon Islands</t>
  </si>
  <si>
    <t>Somalia</t>
  </si>
  <si>
    <t>Sudan</t>
  </si>
  <si>
    <t>Swaziland</t>
  </si>
  <si>
    <t>Syria</t>
  </si>
  <si>
    <t>Tajikistan</t>
  </si>
  <si>
    <t>Tanzania</t>
  </si>
  <si>
    <t>Togo</t>
  </si>
  <si>
    <t>Trinidad &amp; Tobago</t>
  </si>
  <si>
    <t>Turks &amp; Caicos Islands</t>
  </si>
  <si>
    <t>Yemen, Republic</t>
  </si>
  <si>
    <t>Zimbabwe</t>
  </si>
  <si>
    <t>Default Spread</t>
  </si>
  <si>
    <t>Africa &amp; Mid East</t>
  </si>
  <si>
    <t>Australia, NZ &amp; Canada</t>
  </si>
  <si>
    <t>Latin America &amp; Caribbean</t>
  </si>
  <si>
    <t>US</t>
  </si>
  <si>
    <t>Europe</t>
  </si>
  <si>
    <t>Emerging Markets</t>
  </si>
  <si>
    <t>Small Asia (No India, China &amp; Japan)</t>
  </si>
  <si>
    <t>Pre-tax Operating Margin (Lease &amp; R&amp;D adjusted)</t>
  </si>
  <si>
    <t>Rest of the World</t>
  </si>
  <si>
    <t>Amazon</t>
  </si>
  <si>
    <t>Expanding into new businessses</t>
  </si>
  <si>
    <t>Economies of scale and pricing power increase margins</t>
  </si>
  <si>
    <t>Converging on a global tax rate of 25%</t>
  </si>
  <si>
    <t>Big payoffs from investing in technology and content</t>
  </si>
  <si>
    <t>The last man standing…</t>
  </si>
  <si>
    <t>Low debt &amp; diverse business mix</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</si>
  <si>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</si>
  <si>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</si>
  <si>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</si>
  <si>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</si>
  <si>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</si>
  <si>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</si>
  <si>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</si>
  <si>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</si>
  <si>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</si>
  <si>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</si>
  <si>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</si>
  <si>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</si>
  <si>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271d6a2b-7a93-4e27-808c-aa1aada6a76d</t>
  </si>
  <si>
    <t>CB_Block_0</t>
  </si>
  <si>
    <t>㜸〱敤㕣㕢㙣ㅣ㔷ㄹ摥㌳摥㕤敦慣敤搸㡤搳㑢㑡㘹㑤㑢㈹搴挱㡤搳㠶㔲㈰〴㕦㥡挴挵㠹摤搸㐹㡢〰㙤挶扢㘷攲㘹㜶㘶摣㤹㔹㈷㉥㤵㕡㐱换㐵㕣㔵㉥愲㔰㉥慡㄰ㄲ㉦㕣㕥㠰㐲ㅦ㐰㈰㠱㔰㤱㜸㠰〷㈴ㅥち㐲昰〰㐲㤱㜸〱〹〹扥敦捣捣敥捣慥㜷散㙥㕢㜰㤱㑦扡扦捦㥣摢㥣㜳晥敢昹晦㌳捤㠹㕣㉥昷㙦㈴晥㘵捡㌳㜳摤搲㠶ㅦ㐸㝢㘲挶慤搷㘵㌵戰㕣挷㥦㤸昲㍣㘳㘳摥昲㠳㍥㌴㈸㔶㉣搴晢㠵㡡㙦㍤㈴㑢㤵㜵改昹㘸㔴挸攵㑡㈵㕤㐳㍤〷攱㙦㈴㝥搰搹㙢㌰て戰㍣㌳扤戰昲〰㐶㕤ち㕣㑦ㅥㄸ㍢ㅢ昶㍤㌲㌹㌹㌱㌹㜱挷㥤㤳㙦㥡㌸㜸㘰㙣愶㔱てㅡ㥥㍣攲挸㐶攰ㄹ昵〳㘳㡢㡤㤵扡㔵㝤愷摣㔸㜶㉦㐸攷㠸㕣㌹㜸晢㡡㜱挷㥢㈷敦㌸㝣搸扣敢慥㌷て攲搵戹㔳㌳搳㡢㥥㌴晤㤷㘸捣〲愷㝣挷慣慣㕡㕣㥢㤴㥥攵㥣㥦㤸㤹挶㝦㠹昹攳改捥㠹愵㔵㈹〳扥㕡㝡搲愹㑡㕦㐷挷〱㝢捡昷ㅢ昶ㅡ㌷㑦户㡦㘱愹㔵挳てち昶㡣慣搷㜵㍢ㅥ戵㘴㉦㘰敦敡挶挶愰扤㈴ㅤ摦ち慣㜵㉢搸㈸摡换ㄸ愸㌶㘴㥦昱攵㘹挳㌹㉦㑦ㄹ戶㉣搸挷ㅢ㔶㉤ㅦ愶㕣摦㉤昱㄰挹㠹愹攵㑦㑣昹昶捣慡攱愹ㄹ昹摣㤸㡣戶挷扣㙡扡敤㑤摤挷攵搴搵ㅢ㌸收捤摤摢愱收慣攱㌵㕢㡥㜷㙦ㄹ㉤㍥㍤㠳摢扡户㑦散㔱扡捦ㅢ扡昷㔱㕢㤹㙥㉤〶㈲晡㔶㍢㡡挵攸㐵㠲㝥㠲ㄲ〱ㄱ愸㤷〹〶〸〶〱㐴晥敦攰㤲㘴㐷㔶㘹ㄵ㐳慢慣㘸㤵慡㔶愹㘹ㄵ愹㔵㑣慤㜲㕥慢慣㙡ㄵ㑢慢㍣愰㔵㉥愰㑤㥣㑡晤晤㕡㤴搶晥昹㤳㘷摥昷散晤挷㍦昵挸㙤㍦扡攲捦㜳㙢㠳㝢搰攸摥㘸㔲戳㥥㜱ㄱ愴搶愲攲㐳ㄳ〷昹㙦㙢慥〰㔳㤸㠷捤㍢捤挹挹摡攱㠳挶敤㐶㠱换捡㐰㝥㡡㔰㐶搰㜶搰扣捦㜲㙡敥㐵㠵扢敢愶つ㕦戶㌶㙥㍣慡㥢㜶ㅢ㑥捤㝦搵收㤵㑢㠱ㄱ挸㙢摢敢㕡㠳㜴㜴㕢〲㕢㐹㕦扤敦晡昶㙥㘷㡤㝡㐳㑥㕤戲挲敡㔷户㔵摢㡢㥥扢搲扤昶㤸㈷ㅦ㙣搶㜶捣㘸ち㐲㙤㕤㡤摤戱捡戰㉡㥣搷搸捣慡敢㑢㐷㑤㙦摣㕥戴慡ㄷ愴户㈴㈹ㄲ㘵㑤㉤昵㑡㔶㐵㕣㍦扥攰㘰愱攰搶摡㡤挹㔲昳敥㑢〱㤸㔹搶㌰摦㌵改〵ㅢ换挶㑡㕤㕥㤵㙡ㄲ扥ㄳㄵ晢㔳挵挷摣㙡挳㥦㜱㥤挰㜳敢改㥡愹摡扡〱㐹㔳㍢改搶㘴㍥㥦㔳㐲〱〲户慦㑦㠸摣慤摤㜹㐱㈱㈲㠱㘲㌲昲㌵㘹戲㥢㌸㡤搵㘱ㄵ㜵㐹㥡搴㕥扢挵㘰㥣慦㤲㌱ㄹㅣ㤸㔸ㄳ昵〷㕦晡晡㉤㠶㙤㘲敥攵㙤慣㘹愳搱敡敦㕥㤷㑥㜰挲㜰㙡㜵改㘵㙡㍦挱ㄹ改挳〰㠵换㄰〸㕤㜷㡦慡㑥㕣ㄲㅢ㠵㡢㔶㉤㔸㉤慥㑡敢晣㙡㠰㌲㘸挸㔲㠹㕢摢㤱昴㉢㔰愴敦㈵ㄸ〵㈸㤷㜳挵㝤㙣㔴㉣㈳攵ち㤴㑥ㄹ扣㥣ㄲ攴散㤷攲攵㐱昳㤸㔵て㘴㈸㤴㠷㑤㘰㈴搴㙡ち㝤㐳㈴㔱捦愸㠶ち㘳㥦㌹〳㉡㌵㉣㈷搸㘸昱㙤〷㤷㠴㐴戴㉢ぢ㜶㥣㉣愰㈸㐸换㠳っ㕥〳搱戴㐹㠳散挶〹㈲㈲ㅢ㘴㘸㜶㡣㥣㈶㌲戶捦㤰ㄱ㘸㥦㈴㐲戶㍥搸㕤㐶㤰搸㍢㠹㤴㥤扡昲攳慥㌴摢捣㤶て愵搹㤵搸㌸晤㉡㠲慢〹慥㈱搸て㈰晥〴〹㐷㈹㠷㝣㍡改慦挲戳㝥ㅤ挱慢〱㈰㥦㜴捡㥣㐸㔴搱㠶摡㡥ㅤ挹㜶㐳戰㤳㤵㔱ㅣ㡡㈲㕡挶㑤㍢㜳挸㔶㠸㡥慣捥㥤愱㙢昳㑡挷扥慥㍢㙤㈶㤷㐳㡡捣㘸㥡㕣敢ㄶ㑤㤳ㅢ挱愶㍤敡慤ㅢ搰㔵ㅦ㈳㜸つ㐰㔹扦㤱㄰捡㠵〶敦昶㉣㝡㥡㤴慦〸戳㈸㌴㠶㝡㔴昰ㄱ㈱昳〸㤰㈱攴㍡㡥㉦扢㌶㌴捤挱㜱昳ㄵ㙦㐳ㅦ攸捥摦ㄱ搲摢昴收慥摥愱扦攸〵㕡搱㌷㠱扤挴敦扡敡㤸㥢㔱慤扦㡥攰ㄶ㠰㌶ㅤ挳搳昷ぢ昵ㄴ㈸戳搸㑥㘰㙥㉦扤㉥捡捡㕤摥㔸㤳㑡〳つ㥡换㠶㜷㕥〶昰㘰捣捤挲ㄶ㜶㍤㑦搶㜱愸慤愹〲㥥㕦慥㑥ㄷ晡挷㍣搷㘶昹慥㡤散扦㈲ㄴ㐳㍥慦昵攵摡㙣攴っ㕢㌳攱㜳㑡㔰づ㜵昰敤摤㠵㐴愲㔳㥡扣搸㉦晢㝣戹㉢㐹㝡㤰㈴㙦挰戶敡户〲㐰㑡㠸摦㜴㤵㈸〷搸散㡤慡㔹摡㘲愵㠷㉦攳㜴搲收㐳散㤰㈳〳愱挳㜶ㅡ晥〳㝦挸㕥戲散愶戰ㄸ戰ㄷ愵㔷㠵㙦挱慡换㜲攸㤶愵愸搹㤵ㄵ慦㄰㔹搱搷搷㜱㥥捥昰慦㈹㍡㘹㤳ㄲ㤹摣㥥㔹㤹㜱ㄶ㙦ㄱㄵ摤㤰ㄴ㉡ㄹ慥愱愶〴㈲攵戱敤慥㠸改㐱挴摣㠶㡤搳てㄲ㑣ㄲㅣ〲㈸晣ㄲ㤲㘶扢ㅢ捦㜰㔸晦㍡㕤摡㤵㑡慥㐴㌴㈸ㄷ攱㜳㕤㠵搵㘱扥收㑤〴㜷〲戴㤹㍦㜴㐰㘶㄰愲㐲㜹㠲㄰㔵ㄸ挳㍣㙢挹㡢愴㠱㍤㈶〲㑢㌳つ㍦㜰㙤㐶㤶㠶捣㔹昷㤴ㅢ捣㕡晥ㅡ㈲㔱愳㘶㤴戹㙦㔵㍡愰㉥て戶㑦㕢㤹扢戶㈶㙢扡戹攴㌶㈰摡收㘶㜷挲挱ㅣ摢〱㕢㔲㥤捤㌵㠱搴摢昹ㄸ㐳〸散戴昲户搲ㅢ扢㉤敦㌷て㝤挳慤ㅤ㕤戶㠲扡ㅣ㌰㐳愶㘳扥㘴㘲ㄷㄱ㌹愸昵㥢换慢㥥㤴戳㐳收㜱捦慡搵㉤㐷ㄲㄹ戰㌱ㄹ慣㥢㤷攷ㄱ㈵㔸㜴ㄹ〳㜴㥤㈱㜳搹㌳ㅣ㝦捤㘰㐰㜱㘳㙦敡㐹㠵㐵ち收戴攵昸㜸㡤挲㈲昳挳收搲慡㝢ㄱㄱ摢㠶敤ㅣ㌷搶晣ㅤ㠱ㄵㄲ㝤㤸ㄴ㙡㠴㈶㌴㑤㤴戴㔲慦昸攱㠱㍣㤷㈳敦攵〹ㄴ慥㜲〵晡捣㌳戴㌷敤晡㈸㐶㐳㍢㥤㜳ㅡ㐴昴愸㔹搸㤷㈹㠵挹愹晡㕤散昳ㄶ㠰㝢㡥㥦㤹㙢㐵收㕥㔴捣扡㐰㉦㝦㠶㡣㔷㘴搱っ㠴搰㐷户㈷㈴ㄵ㤶㤱㜲挰㠱挰㌸㥦摡挹慦㙣慡㌶愴扥㍤慤散㌱㐴㤲〶捤㜹㘳㐵搶ㄱ㡦戶㡤㘰㑦昸㐰㌳搶㌶敡㝥㔴㌷攳摡戶㐱搲㈲㔹㉥㔵つ㔲昰㔴㈳㜰㑦㕡㡥㙥〲㈸晡㡢㡡㡣㑢㈸㌲㉥愹愲㐱昳㌴㐳㠳㉡捦戱摣昳㠶㘷〵慢戶㔵㉤昱㠱攱扢ㅤ㐱㤳㘰㜲㑡摥㌸挵㌲㘳慣捤㥡㍦〳㤳捤㥦〰扡㈷㈰㐷戹㜵㐴㍦㈸㔷ㄳ㐵晣ㄳ㍤㍡㤶㈰㘰㤴愷㔴㝦ㅢ㐶㉢愸摢ㄱ㄰㌹㉡㕤㡥敦㘰㕣㝥〴㈵愱㄰㈲搶㌳㐸〴㕥挱㠴㤰愷㡢扢㘸㥥㜱慣〰搸㈳挶㡥㔹挱慣て㤴〳㈰慢㡥户搷㉡慣㈶㍡㡤㌷戵挲つ㥤㔵㈹㌵㜱㝤㘷㝤㔲㙦扣㜶㤳敡㔰愳㈴ㄴ挹㔶㡤㤴㘶搹㘴㡥㍢㐹搵〸愵戸㘳㙤㈳戲摣愶慤㝤愷ㄴ㜹ㄱ㡡㐹搱㑣㑥㝦扢㈲ㄴ〴㝡㈳ㅤ㐵㥦㝤㌶㜹㈴㈲㌶戴〱捡搴㔳㘱搹㔰ㄴㄲ㥣挳戵㤳㥡㉣㐷㑦攰敦㍤㔱㜶愱ㄱ愴㙡㡣㑢愳㔱捤㔴扤扥攰挰㑡愸ㅡ㕥㙤㠷戰㌴搶ㄶ㙡ㄸ挵㥤扤㙡晦㜰㝢ㄳ㡣ㄸ戱㈱挳㈲ㄹ㝥㘰戰㈱㤸㉢ㄱ㔱愵㜵㌶挴慤㙥ㄶ㤷昸㜴㔲ㅡ㡥挲挰㔲㔰㥢㤵敢捡っ㙢㔹昲愳慡㐳昳戴愸攴愸㙥㑥慤昸㔰改〱攵㜸㤴㔳っ慥㥢愷改㤶挲㈵〶㠸摤㈸户㔸つ㄰摡㙤づ挰㤳挱捥挱づ㜶㈴っ㥤搰㍡愳〴㉤㘶㄰㙥㝡ㄱ攴㥤ㅥ㌱ち㐱㙡慡昴户愳攲ぢ㑦㌲㝤攳㘸㉥捥㐴㑣挴㜰㔷㠶昵〰攴㈶㈳㤳攴愲搱㌸㘰ㅥ㑡㌶㈵戴〶攳㌲㥡ㄸ㐳㌴昹扣〰户㜸ㄸ换ㅡ㈶摢搴㜱捦㉤戰愰㑤敢ㅢ㝢捣㌹愷㕡㙦搴愴㔲挵戱慣㔶ㅡ㜹㐷攰㑢㕤〱っ戹㈹㘳㕦愲㑤㤹挳㔱㡡㑢㈶㤲㝡户扢昵愳攸慥㠴ㅣ挶〸㔵ㅦ〳㤰ㄹ㙥㌹ㄵ㄰敢戸愷㐰晢㜰㙦敢〲㠳扡㍣〷㤱搶㔱㐴㔹㌶㡦晢㜸捤㈸戲攲戶㐴戳㜹㜷摥愵捤㥥㈸㍡㘱㠵㐵㍢〲㐷㔸㘷㈸昰㡡㐵ㄸ㈳㍤㜲〷〷挹㕤㡥愲扢㤷ㅦ㔱㡦戹换㐰㠵挲㠰㘰㡣㤷愷愰ㅣ㜶ㄵ㡣㐴㠳㕢㙢㔹摤㠲搱㕦㕡摥晡ㄴ㠰㘰ㄸ㤸〶㉤㕡㠶〶捥っ昲㕢ㅢ㌸㌷愰㔵㐶㠴㌴ㄹ㑣㘵㡣㜲ㄴづ㝢㈰つ摣挴㠳昴戲ぢ㈵ㄴ散㔳ㄷ挳攲扢㠹攳㌶㡥㐰慥㜷㔵㕢攱愲ㄱ攰晡㡢戳扦慤㜸慡㔶愳戹ぢ晦摣㡥挰㉡慥㙥㠴收攸扥戶㑢㔹㙡㑤戴敦㙥㙡慢㠸㉥ぢㅥ㥡㥤㌸㘱〴搵搵愵㘰㈳扣戸搵㉢㐹ㄴ㥥㠵㍦㘲搳户搳㘶捥㍢扣㠸扡捥扤㉦㕦㜰摣㡢㡥㥡㔷挱攷慤㍦㔰〸慥㔰昶㜳㤲攵摣扦昱㑦㈵㉤㔷昸㈱㐶摣捥戴㌹㐰换㐱挲㜱㔴ち愵挱ㄸ昲ㄹ㜴〲摢扤㜹㙢㠰㜴戲慦㡤㑥㤴㈰搸㈵ㄴ攷晣㑢㐶㈸攲〷㐰㉢㠹㈵㍣㤲㘳捦扦づ搶ㄷ捦愰㠴〸挷㜳㈴㐶ち慦㐱㉥〳㜵㑡㤰㐷㔷㍣㜸㈱攴晦〷㑢㌱㌷㙦捡㑥晦〵㘶ㄶ摦㙦㐷搱昵㐴搱昷㍡㔰㈴㜸つ㐴昱敦㍤挸挴愹挰昰散ぢち㠴㜳㑤扢〷搰㤷晤挲敦晦昰〰㍡ㅦㄱ㠷戲搱㄰㙡扢ㄹ捦㑤ㄳ愱慦挳㐴㘰昰㕥㤹〸㈷㤱ㄱ㡣攲㠷㈶㐲攴〳㔹㐰挱搶㈶〲㘳㝢ㄹ㠶㘰㈲搴㥡㜰㙢昰〴㜶㤵㑤晦搸〹㕣扣㤵㍥攲昹㔰㕡晥っ㍣㔲㔷㜷ㄶ㉦ㅡ㥥㘱敦㔷攵挷㍤〹㘵收㉤攳㈶户敡挲ㅥ搷㙥㕡愳㍡㙤攲慢㠸扤散扢晥㤴敤摤㕦〷愶挲ㄴ扡敦㐵㐹ㄴ㕦㠴愷㐴昰摣㤰㝢摦扥㙦ㅥ晦晤㐳㡦ㅤ攵㙤戵㠸㔶ぢ户㈲摦㑢挸㥥昶〴㠲扡㠹㡢㈲㔷昲挳㥣㤳昸㐴挹㕡慢换㘹挳㔳㔶㤰慦摢㜱㌶㈴扣〴㘱㠶挴户ㄳ㑣㑣摣㝢〸㑤捣㠹㌶㜷愷晡戰㐹戹〸㈷ㄲㄳ㔷㍥扤㌸㙣㈸扡㉡戲ㅥ慤捤挲户愱㡡㕥攰㐴搲㔶㈲㑦㥤㑣㐲㝣慢㕤搷ㅤ愶慥ぢて㌲っ晢挷㔲ち昱〷㔲㐸昲㈰挳ぢ〱㑡㑡㥤㐶愶㜰ㅢ㐰㐶㘴慤㍤挴㑢㝦挰慥㄰㤰捤㑢㝦㍤㝥挴㠲㕤〴ㄶ㘳㕦㝣慦㈷㕡摡愲戱㙡㘲愸㔶搹㌴㑢挸愸挳ぢぢ㈶攳搲㤴愵㜳〸愵摢㜶㐷昱㈵㐳㜶ㄸ㜸ぢㄹ扢㘰搳搷㔶戶敦㜶ㅡ戸昹〱㍤㔳㔴ち挳搹换㘲ㅣ㐸㔵㡣㉥㙣㕡づ㡢〸㠷挳㙣戳搳㐰㔴〵㥤攵散挷愹ㄴ挱㍦㝥㈹挴晡昱搶搰㔷戶搷㔰挷㌹晤㔸㈰㝦戰扦慥捦㘰㙣扣㤵ㅣ〳〹扢慤㔶愵昰㝡昸ㄹ㜴攱愲㜳㐲㙦㘵搵戳㌸㡣㍦㌱㘷昵㘹ㅤ晡㥦搱㙢挵㔹㘷搹㥢㘱散㤴晥扦ㅦ〵㕢敡㝦挱搸㥢㐲攴扢愲っㅦち㡣㥦㙣ㄹ戲攱㡥挰戳㡤攰㡤㍡ㄸ敢㉡换㤰㜷㤸㕢挲挷慢㘱戵㤲攰昰㝢攵摢慦㐶㌴晢搲戶ㅤ攸㉡〰ㄹㅢ㉡㝣ㅤ㈲愸㙢晦戴摣㡡㑦户挵㜷愳攳扥㤳㔶搵㜳㝤搷っ挶㤶㄰昴ㅤ攳户㘷㈶㙣㥥㈹昱戵㜶愱㜶ㄳ㜶㘲昰扤攸㜳㙡〱〲晢㤴っ㕥慡㔸㈴㈳ぢ摢㡢㘴昰㍢愴㤱㐴㜸㠹摡挱扦挲扣户㘱搴昱改敡〲㝣㥤〱㡢㜶㠴戲ぢ㍤捥敤㌷㌴戸㜵戸愳昵㑥昸㠳㘴㝤〲挱㌱戵㠴㜷扦㤷晢摡扥〷改戶搱摡㝣戶散捤攷㔶㉥㍣つ㥣㙥敦㉤㘹㤲攱㍢昹㐵㜲㔹慦㄰攲搲晥㔱晣摤扥㠳㤶愳㡤㠲捥愳て扡改〸ㅢ慦挳㝤戶㡤攸昷㌹㜴ㄵ㔳〴昸改㐶㤴攱㠳愰㤷㡦慣㈸扥㡣㘵㤱〱㤰捦ㄵ慢〰摤愹晡愹捤愸㝡㈴ㄶ挸㠲㘷っ㤲㘳㔹㝣ㄱつ戹㕤攱戲挱ㄲ㕣戶㔰㘷〹攴昵戸〷昲㌹挱戳㠴㥡挸攷搱愱㌹ㄱぢ愵摤㈷昲戹捤㈶㈲㘸〵愸㠵㈶挷ㅦ㠹戵㠸㕥㐷戵㙥ㄳ㌸〴㉥挰㌰挵㈲㘵㑤㌱っ㉤㍣㐳捣㈰晤㉡晡晢晣搱㕦㍥挷昴搷愳㐲〹㐲㔴愵㈷㑦㐱愸㈶晦挹攴攴㍤㤴㜶㥦晣挷㌷㥢晣〸㘵㈴㘷愲〷〰㐳㝤愲㠲㍦㙡㌱つ㘴戸㡦晣㠹㜳〴昸愵㘶㌱㘲愰㐴昵扤㠸っ晡㜲挳㔵慢㑢挸挴㝤ぢ㕣㝦挶挷㍤捡㍥攲㐵㐸晡㜲㡡愱㌳戶ㄸ㙡挵㤲ㅤ㜹㘱㜷㠴㙣挰㤲昸戵㙣㔷㤱㕥散㌱挲㉦㍥ㄴ㈳收挴㠹昸换㈹㉤㡡㌹㠱㌰㐲㡢㤴昴挳㡤ㄴㅦ㡣ㅢ㝦攷扢㉤㤷㈹㉡㤰㐰㍤㘱㘳搲㤹㙡晣㜸摣昸㄰扥捡㔲㙤㜲扣㐱挰昴㝣摣㤸昴愸ㅡ㍦ㄶ㌷晥换愱晤捤挶㌱ㅤ㠶㈳ㄷ㐸㈴ㄹ戶慥戲晥ㄳ㕦㘸て愳㜹挱愴晥ㅣ㌰挳㘲㑡㑥ㄵ㍡慥㉢つ㍡㠸换㈰ㅥ扥㤱㥥挷摤㈶㕣〱㠱㤰つ晦㔷〹㜳戸昳㌴㙢〴〶㍥㠱㕥㐷戰搹搳搵ㄳ㍢ㄷ捤〵て〵晤收㥣㡦㌳㔵㙤㐷㤱〸捣㠱㝣戸扦㕢㌸攵㌳㑣挷搶㝥挴㐱㌲㡤㜷㐸㝡㔳ㅥ㉡戰㤲ㄷ敦㡦㌱㥢㝢戴㐵㌳晡㈳㐰づ愴㈳㈰㌳晡愳㠰㘱㈰㠶户㤵㜳㈳攴㝦挵摣敦㘷挵〷〸ㅥ〳㈸ぢ㌲㍢改愰昸㌸挰㜰晣㍦慡ㄸ㕢㔷晥ㄲ㑤㍣ㄴ扦㉣㐹㐶晡㠷搸攱挳〰㝤㜰摦㡡㠸〸换晡㐷㔰㤲㝣㈹〵㠷㝡改㐷㔹昱㌱㠲㡦〳㤴ぢ㥣散戶㜷㡤㙢敡㔱㜳㝤〲㕤挵愳〴昸改㥦㡣㌲㝣㈸㜰ㅦ摥摡摤㔶收㔱㌸晥戰ㅦ愱捥搴ㄷ晣㜷攳㡢晣つ㉥扡て晦㐳㤲㠲㌲散昳摡㕢㝡ㅢ㡢㑣㐰㥢㕣晤搶戰搹㉦㘲ㅣ慥慢ㄵ㐱攱㠸㔴㉡㈵慤㈸㠸㙦㉥㔸戸㜸〳摦㜲㐴㔵〸㐱ㅡ㔰ㄵ㑥㔴㜱ㄴ〵晡愷搹㤴㌸㈶㥥昴捦昰㠹愸㔵㥢昸搹㈸挳〷㐱扣慡敥て㐴摤攳ㄷㄲ搷慡挲㙡㝢㈱昱慦㉡㔶㤳㉦㝣㤲㠳㈹㘴㈱㤳搶㑡㐴㥡愲愱㉦㈲㌳搴㌷捣戹摤㠷㥦㜶㐹㔴捦搵捥㥤晢挷㜰㝥散摡晣晤敦ㄸ㝣昲昹㕦晣攱㠹㕦扦攷挸㥦晦昵搴㔳扦晥攳ㄳ捦晤敢搹㤵㈳㍦㝢晡改㥦摥昳㤵攷晥戰搷晣慡昶摤㝦捣㝦昵攱挹ぢて㍦㘸㥥戹昵昸挳敦㝡攰摥挹挵㉢挶晢晡晡晢㙦ㄹ晤昹㌵慦ㅦ㜹昴挱敦㡢ㅦ晦昶㙡㐷愸攵攲〵改㘹㜰搹㙡ㅡ㕦㐲〶搳攰㡣㕦搶㘹㜰戹㙡愳㔶愲㡤㥡㐶㐱〹㍥つ㑥㐰㔵ㄸ改㡡㠱晦〰ㅥ换戳戵</t>
  </si>
  <si>
    <t>Decisioneering:7.0.0.0</t>
  </si>
  <si>
    <t>eb12ad88-c3be-4256-b53f-793e1373a468</t>
  </si>
  <si>
    <t>CB_Block_7.0.0.0:1</t>
  </si>
  <si>
    <t>㜸〱敤㕣㕢㙣ㅣ㔷ㄹ摥㌳摥㕤敦慣敤搸㡤搳愶㈹愵㌵㤴戶㔰〷㌷㑥ㅢ㑡㠱㄰㝣㘹ㄲ户㑥散挶㑥㑡㔵搰㘶扣㝢㈶㥥㘶㘷挶㥤㤹㜵攲㔲愹〵捡㑤摣㈴㙥愲㔰㉥慡㄰ㄲ㉦㕣㕥捡昵〵〹〹㠴ち攲〱ㅥ㤰㜸㈸ㄵ㠲〷㄰㡡挴ぢて㐸昰㝤㘷㘶㜶㘷㜶扤㘳㜷摢㠲㡢㝣搲晤㝤收摣收㥣昳㕦捦晦㥦㘹㑥攴㜲戹㝦㈳昱㉦㔳㥥㤹敢㤷㌶晣㐰摡ㄳ㌳㙥扤㉥慢㠱攵㍡晥挴㤴攷ㄹㅢ昳㤶ㅦ昴愱㐱戱㘲愱摥㉦㔴㝣敢㔱㔹慡慣㑢捦㐷愳㐲㉥㔷㉡改ㅡ敡㌹〸㝦㈳昱㠳捥㕥㠳㜹㠰攵㤹改㠵㤵㠷㌱敡㔲攰㝡昲攰搸戹戰敦搱挹挹㠹挹㠹㍢敦㥡㝣换挴愱㠳㘳㌳㡤㝡搰昰攴㔱㐷㌶〲捦愸ㅦㅣ㕢㙣慣搴慤敡㝤㜲㘳搹扤㈸㥤愳㜲攵搰ㅤ㉢挶㥤㙦㥤扣昳挸ㄱ昳敥扢摦㍡㠸㔷攷㑥捦㑣㉦㝡搲昴㕦愶㌱ぢ㥣昲㥤戳戲㙡㜱㙤㔲㝡㤶㜳㘱㘲㘶ㅡ晦㈵收㡦愷扢㈶㤶㔶愵っ昸㙡改㐹愷㉡㝤ㅤㅤ〷散㈹摦㙦搸㙢摣㍣摤㍥㡥愵㔶つ㍦㈸搸㌳戲㕥搷敤㜸搴㤲扤㠰扤慢ㅢㅢ㠳昶㤲㜴㝣㉢戰搶慤㘰愳㘸㉦㘳愰摡㤰㝤搶㤷㘷っ攷㠲㍣㙤搸戲㘰㥦㘸㔸戵㝣㤸㜲㝤户挶㐳㈴㈷愶㤶㍦㌱攵摢㌳慢㠶愷㘶攴㜳㘳㌲摡ㅥ昷慡改戶㌷㜵ㅦ㤷㔳㔷㙦攰㤸㌷㜷㙦㠷㥡㜳㠶搷㙣㌹摥扤㘵戴昸昴っ㙥敦摥㍥戱㐷改㍥㙦敡摥㐷㙤㘵扡戵ㄸ㠸攸㕢敤㈸ㄶ愳ㄷ〹晡〹㑡〴㐴愰㕥㈶ㄸ㈰ㄸ〴㄰昹㝦㠰㑢㤲ㅤ㔹愵㔵っ慤戲愲㔵慡㕡愵愶㔵愴㔶㌱戵捡〵慤戲慡㔵㉣慤昲戰㔶戹㠸㌶㜱㉡昵昷㙢㔱摡晦敢㍦っ㕦㥣㕢㤸㝢晦㝤ㅦ㍥晤捥㠷ㅥ晢晤攰ㅥ㌴扡㍦㥡搴慣㘷㕣〲愹戵愸昸昰挴㈱晥摢㥡㉢挰ㄴ收ㄱ昳㉥㜳㜲戲㜶攴㤰㜱㠷㔱攰戲㌲㤰㥦㈲㤴ㄱ戴ㅤ㌴ㅦ戰㥣㥡㝢㐹攱敥晡㘹挳㤷慤㡤ㅢ㡦敡愶摤㠶㔳昳㕦戳㜹攵㔲㘰〴昲扡昶扡搶㈰ㅤ摤㤶挰㔶搲㔷敦扢愱扤摢㌹愳摥㤰㔳㤷慤戰晡戵㙤搵昶愲攷慥㜴慦㍤敥挹㐷㥡戵ㅤ㌳㥡㠲㔰㕢㔷㘳㜷慣㌲慣ち攷㌵㌶戳敡晡搲㔱搳ㅢ户ㄷ慤敡㐵改㉤㐹㡡㐴㔹㔳㑢扤㥡㔵ㄱ搷㡦㉦㌸㔸㈸戸戵昶晡㘴愹㜹捦攵〰捣㉣㙢㤸敦㥡昴㠲㡤㘵㘳愵㉥慦㐹㌵〹摦㠹㡡〳愹攲攳㙥戵攱捦戸㑥攰戹昵㜴捤㔴㙤摤㠰愴愹㥤㜲㙢㌲㥦捦㈹愱〰㠱摢搷㈷㐴敥戶敥扣愰㄰㤱㐰㌱ㄹ昹摡㌴搹㑤㥣挱敡戰㡡扡㈴㑤㙡㙦搸㘲㌰捥㔷挹㤸っづ㑣慣㠹晡㠳㉦㝤攳ㄶ挳㌶㌱昷捡㌶搶戴搱㘸昵昷慣㑢㈷㌸㘹㌸戵扡昴㌲戵㥦攰㡣昴㘱㠰挲ㄵ〸㠴慥扢㐷㔵㈷㉥㡢㡤挲㈵慢ㄶ慣ㄶ㔷愵㜵㘱㌵㐰ㄹ㌴㘴愹挴慤敤㐸晡㔵㈸搲昷ㄲ㡣〲㤴换戹攲㍥㌶㉡㤶㤱㜲〵㑡愷っ㕥㑥〹㜲昶㑢昱昲愰㜹摣慡〷㌲ㄴ捡挳㈶㌰ㄲ㙡㌵㠵扥㈱㤲愸㘷㔴㐳㠵戱捦㥣〱㤵ㅡ㤶ㄳ㙣戴昸戶㠳㑢㐲㈲摡㤵〵㍢㑥ㄶ㔰ㄴ愴攵㐱〶慦㠱㘸摡愴㐱㜶攳〴ㄱ㤱つ㌲㌴㍢㐶㑥ㄳㄹ摢㘷挸〸戴㑦ㄲ㈱㕢ㅦ敡㉥㈳㐸散㥤㐴捡㑥㕤昹㜱㔷㥡㙤㘶换㠷搲散㙡㙣㥣㝥つ挱㝥㠲㙢〹づ〰㠸㍦㐳挲㔱捡㈱㥦㑥晡㙢昰慣㕦㑦昰㕡〰挸㈷㥤㌲㈷ㄲ㔵戴愱戶㘳㐷戲摤㄰散㘴㘵ㄴ㠷愲㠸㤶㜱搳捥ㅣ戲ㄵ愲㈳慢㜳㘷攸摡扣搲戱户㜴愷捤攴㜲㐸㤱ㄹ㑤㤳㙢摤愲㘹㜲㈳搸戴㐷扤㜵㈳扡敡㘳〴慦〳㈸敢慦㈷㠴㜲愱挱扢㍤㡢㥥㈶攵慢挲㉣ち㡤愱ㅥㄵ㝣㐴挸㍣〲㘴〸戹㡥攳换慥つ㑤㜳㜰摣㝣搵摢搰〷扢昳㜷㠴昴㌶扤戹慢㜷攸㉦㝡㤱㔶昴㑤㘰㉦昱㠷慥㍡收㘶㔴敢户㄰摣ち搰愶㘳㜸晡㝥戱㥥〲㘵ㄶ摢〹捣敤愵搷㐵㔹戹换ㅢ㙢㔲㘹愰㐱㜳搹昰㉥挸〰ㅥ㡣戹㔹搸挲慥攷挹㍡づ戵㌵㔵挰昳换晥㜴愱㝦摣㜳㙤㤶敦摡挸晥慢㐲㌱攴昳㕡㕦慥捤㐶捥戰㌵ㄳ㍥愷〴攵㔰〷摦搱㕤㐸㈴㍡愵挹㡢晤戲捦㤷扢㤲愴〷㐹昲㈶㙣慢㝥ㅢ〰愴㠴昸㕤㔷㠹㜲㤰捤摥慣㥡愵㉤㔶㝡昸㌲㑥㈷㙤㍥挴づ㌹㌲㄰㍡㙣愷攱㍦昰㠷散㈵换㙥ち㡢〱㝢㔱㝡㔵昸ㄶ慣扡㉣㠷㙥㔹㡡㥡㕤㔹昱㉡㤱ㄵ㝤㝤ㅤ攷改っ晦㥡愲㤳㌶㈹㤱挹敤㤹㤵ㄹ㘷昱ㄶ㔱搱つ㐹愱㤲攱ㅡ㙡㑡㈰㔲ㅥ摢敥㡡㤸ㅥ㐴捣敤搸㌸晤㄰挱㈴挱㘱㠰挲慦㈰㘹戶扢昱っ㠷昵慦搳愵㕤愹攴㑡㐴㠳㜲ㄱ㍥搷㔵㔸ㅤ攱㙢摥㐲㜰ㄷ㐰㥢昹㐳〷㘴〶㈱㉡㤴㈷〸㔱㠵㌱捣㜳㤶扣㐴ㅡ搸㘳㈲戰㌴搳昰〳搷㘶㘴㘹挸㥣㜵㑦扢挱慣攵慦㈱ㄲ㌵㙡㐶㤹〷㔶愵〳敡昲㘰晢戴㤵戹㙢㙢戲愶㥢㑢㙥〳愲㙤㙥㜶㈷ㅣ捣戱ㅤ戰㈵搵搹㕣ㄳ㐸扤㥤㡦㌱㠴挰㑥㉢㝦㉢扤戱摢昲㝥昳搰㌷摣摡搱㘵㉢愸换〱㌳㘴㍡收㑢㈶㜶ㄱ㤱㠳㕡扦戹扣敡㐹㌹㍢㘴㥥昰慣㕡摤㜲㈴㤱〱ㅢ㤳挱扡㜹㜹〱㔱㠲㐵㤷㌱㐰搷ㄹ㌲㤷㍤挳昱搷っ〶ㄴ㌷昶愶㥥㔴㔸愴㘰㑥㕢㡥㡦搷㈸㉣㌲㍦㙣㉥慤扡㤷㄰戱㙤搸捥〹㘳捤摦ㄱ㔸㈱搱㠷㐹愱㐶㘸㐲搳㐴㐹㉢昵㡡ㅦㅥ挸㜳㌹昲㕥㥥㐰攱㉡㔷愰捦㍣㐳㝢搳慥㡦㘲㌴戴搳㌹愷㐱㐴㡦㥡㠵㝤㤹㔲㤸㥣慡摦捤㍥㙦〳戸昷挴搹戹㔶㘴敥㈵挵慣ぢ昴昲㘷挸㜸㐵ㄶ捤㐰〸㝤㜴㝢㐲㔲㘱ㄹ㈹〷ㅣ〸㡣昳愹㥤晣捡愶㙡㐳敡摢搳捡ㅥ㐷㈴㘹搰㥣㌷㔶㘴ㅤ昱㘸摢〸昶㠴て㌴㘳㙤愳敥㐷㜵㌳慥㙤ㅢ㈴㉤㤲攵㔲搵㈰〵㑦㌵〲昷㤴攵攸㈶㠰愲扦愸挸戸㡣㈲攳戲㉡ㅡ㌴捦㌰㌴愸昲ㅣ换扤㘰㜸㔶戰㙡㕢搵ㄲㅦㄸ扥摢ㄱ㌴〹㈶愷攴㡤㔳㉣㌳挶摡慣昹戳㌰搹晣〹愰㝢〲㜲㤴㕢㐷昴㠳㜲㌵㔱挴㍦搱愳㘳〹〲㐶㜹㑡昵㜷㘰戴㠲扡ㅤ〱㤱愳搲㤵昸づ挶㤵挷㔱ㄲち㈱㘲㍤㠳㐴攰ㄵ㑣〸㜹扡戸㡢收㔹挷ち㠰㍤㘲散戸ㄵ捣晡㐰㌹〰戲敡㜸㝢㥤挲㙡愲搳㜸㔳㉢摣搸㔹㤵㔲ㄳ㌷㜴搶㈷昵挶ㅢ㌶愹づ㌵㑡㐲㤱㙣搵㐸㘹㤶㑤收戸㤳㔴㡤㔰㡡㍢搶㌶㈲换㙤摡摡㜷㑡㤱㤷愰㤸ㄴ捤攴昴㜷㉡㐲㐱愰㌷搲㔱昴搹㘷㤳㐷㈲㘲㐳ㅢ愰㑣㍤ㄵ㤶つ㐵㈱挱㌹㕣㍢愹挹㜲昴〴晥摥ㄳ㘵ㄷㅡ㐱慡挶戸㍣ㅡ搵㑣搵敢ぢづ慣㠴慡攱搵㜶〸㑢㘳㙤愱㠶㔱摣搹慢昶て户㌷挱㠸ㄱㅢ㌲㉣㤲攱〷〶ㅢ㠲戹ㄲㄱ㔵㕡㘷㐳摣敡㘶㜱㠹㑦愷愴攱㈸っ㉣〵戵㔹戹慥捣戰㤶㈵㍦慡㍡㌴㑦㡢㑡㡥敡收搴㡡て㤵ㅥ㔰㡥㐷㌹挵攰扡㜹㠶㙥㈹㕣㘲㠰搸㡤㜲㡢搵〰愱摤收〰㍣ㄹ散ㅣ散㘰㐷挲搰〹慤㌳㑡搰㘲〶攱愶ㄷ㐱摥改ㄱ愳㄰愴愶㑡㝦㍦㈶扥昴ㄴ搳户㡥攵攲㑣挴㐴っ㜷㘵㔸て㐰㙥㌲㌲㐹㉥ㅡ㡤〳收愱㘴㔳㐲㙢㌰㉥愳㠹㌱㐴㤳捦ぢ㜰㡢㠷戱慣㘱戲㑤ㅤ昷摣〲ぢ摡戴扥戱挷㥣㜳慡昵㐶㑤㉡㔵ㅣ换㙡愵㤱㜷〴扥搴ㄵ挰㤰㥢㌲昶㈵摡㤴㌹ㅣ愵戸㘴㈲愹㜷扢㕢㍦㠶敥㑡挸㘱㡣㔰昵㌱〰㤹攱㤶㔳〱戱㡥㝢ち戴て昷戶㉥㌰愸换㜳㄰㘹ㅤ㐵㤴㘵昳戸㡦搷㡣㈲㉢㙥㑢㌴㥢㜷攷㕤摡散㠹愲㤳㔶㔸戴㈳㜰㠴㜵㠶〲慦㔸㠴㌱搲㈳㜷㜰㤰摣㤵㈸扡㝢攵㜱昵㤸扢〲㔴㈸っ〸挶㜸㜹ち捡㘱㔷挱㐸㌴戸戵㤶搵㉤ㄸ晤愵攵慤㑦〱〸㠶㠱㘹搰愲㘵㘸攰捣㈰扦戵㠱㜳㈳㕡㘵㐴㐸㤳挱㔴挶㈸㐷攱戰〷搲挰㑤㍣㐸㉦扢㔰㐲挱㍥㜵㌱㉣扥㥢㌸㙥攳〸攴㝡搷戴ㄵ㉥ㅡ〱慥扦㌸〷摡㡡愷㙡㌵㥡扢昰捦敤〸慣攲敡㐶㘸㡥敥㙢扢㤴愵搶㐴晢敥愶戶㡡攸戲攰攱搹㠹㤳㐶㔰㕤㕤ち㌶挲㡢㕢扤㤲㐴攱㈷昰㐷㙣晡㜶摡捣㜹㠷ㄷ㔱搷戹昷攵㡢㡥㝢挹㔱昳㉡昸扣昵〷ち挱ㄵ捡㝥㑥戲㥣晢㌷晥愹愴攵ち㍦挶㠸摢㤹㌶〷㘸㌹㐸㌸㡥㑡愱㌴ㄸ㐳㍥㠳㑥㘰扢㌷㙦つ㤰㑥昶戵搱㠹ㄲ〴扢㠴攲㕣㜸搹〸㐵晣〸㘸㈵戱㠴㐷㜲散昹㌷挱晡攲㠷㈸㈱挲昱ㅣ㠹㤱挲敢㤰换㐰㥤ㄲ攴搱ㄵて㕥〸昹晦挱㔲捣捤㥢戲搳㝦㠱㤹挵て摡㔱㜴〳㔱昴晤づㄴ〹㕥〳㔱晣㝢㉦㌲㜱㉡㌰㍣晢愲〲攱㕣搳敥〱昴ㄵ扦昰晢㍦㍣㠰捥㐷挴愱㙣㌴㠴摡㙥挶㜳搳㐴攸敢㌰ㄱㄸ扣㔷㈶挲㈹㘴〴愳昸愱㠹㄰昹㐰ㄶ㔰戰戵㠹挰搸㕥㠶㈱㤸〸戵㈶摣ㅡ㍣㠱㕤㘳搳㍦㜶ㄲㄷ㙦愵㡦㜸㍥㤴㤶㍦〳㡦搴晥捥攲㐵挳㌳散〳慡晣㠴㈷愱捣扣㘵摣攴㔶㕤搸攳扡㑤㙢㔴愷㑤㝣ㄵ戱㤷㝤搷㥦戲扤晢敢挰㔴㤸㐲昷扤㈸㠹攲㑢昰㤴〸㥥ㅢ㜲敦摢昷敤ㄳ㝦㝣昴挹㘳扣慤ㄶ搱㙡攱㌶攴㝢〹搹搳㥥㐰㔰㌷㜱㔱攴㙡㝥㤸㜳ち㥦㈸㔹㙢㜵㌹㙤㜸捡ち昲㜵㍢捥㠶㠴㤷㈰捣㤰昸㜶㠲㠹㠹㝢て愱㠹㌹搱收敥㔴ㅦ㌶㈹ㄷ攱㐴㘲攲捡愷ㄷ㠷つ㐵㔷㐵搶愳戵㔹昸㉥㔴搱㡢㥣㐸摡㑡攴愹㤳㐹㠸敦戴敢扡㈳搴㜵攱㐱㠶㘱晦㔸㑡㈱晥㐰ち㐹ㅥ㘴㜸㈱㐰㐹愹㌳挸ㄴ㙥〷挸㠸慣戵㠷㜸改て搸ㄵ〲戲㜹改慦挷㡦㔸戰㡢挰㘲散㡢敦昵㐴㑢㕢㌴㔶㑤っ搵㉡㥢㘶〹ㄹ㜵㜸㘱挱㘴㕣㥡戲㜴づ愳㜴摢敥㈸扥㘴挸づ〳㙦㈱㘳ㄷ㙣晡摡捡昶㍤㑥〳㌷㍦愰㘷㡡㑡㘱㌸㝢㔹㡣〳愹㡡搱㠵㑤换㘱ㄱ攱㜰㤸㙤㜶ㅡ㠸慡愰戳㥣〳㌸㤵㈲昸挷㉦㠵㔸㍦摥ㅡ晡敡昶ㅡ敡㌸愷ㅦぢ攴て昶搷つㄹ㡣㡤户㤲㘳㈰㘱户搵慡ㄴ㕥て㍦㡢㉥㕣㜴㑥攸慤慣㝡ㄶ㐷昰㈷收慣㍥慤㐳晦㌳㝡慤㌸敢ㅣ㝢㌳㡣㥤搲晦敦㐶挱㤶晡㕦㌰昶愶㄰昹㘰㤴攱㐳㠱昱㤳㉤㐳㌶摣ㄱ㜸戶ㄱ扣㔱〷㘳㕤㘵ㄹ昲づ㜳㑢昸㜸㌵慣㔶ㄲㅣ㝥慦㝣晢搵㠸㘶㕦摡戶〳㕤〵㈰㘳㐳㠵㙦㐲〴㜵敤㥦㤶㕢昱改戶昸㄰㍡敥㍢㘵㔵㍤搷㜷捤㘰㙣〹㐱摦㌱㝥㝢㘶挲收㤹ㄲ摦㘸ㄷ㙡㌷㘱㈷〶摦㡢㍥愷ㄷ㈰戰㑦换攰攵㡡㐵㌲戲戰扤㐸〶扦㐳ㅡ㐹㠴㤷愸ㅤ晣慢捣晢ㅢ㐶ㅤ㥦慥㉥挰搷ㄹ戰㘸㐷㈸扢搰攳摣㝥㐳㠳㕢㠷㍢㕡昷挱ㅦ㈴敢ㄳ〸㡥愹㈵㍣昴㕥敥㙢晢ㅥ愴摢㐶㙢昳搹戲㌷㥦㕢戹昰っ㜰扡扤户愴㐹㠶敦攴ㄷ挹㘵扤㐲㠸㑢晢挷昰㜷晢づ㕡㡥㌶ち㍡㡦㍥攸愶㈳㙣扣づ昷搹㌶愲摦攷搱㔵㑣ㄱ攰愷ㅢ㔱㠶て㠲㕥㍥戲愲昸㉡㤶㐵〶㐰㍥㔷慣〲㜴愷敡愷㌷愳敡㤱㔸㈰ぢ㥥㌱㐸㡥㘵昱㘵㌴攴㜶㠵换〶㑢㜰搹㐲㥤㈵㤰搷攳ㅥ挸攷〴捦ㄲ㙡㈲㕦㐴㠷收㐴㉣㤴㜶㥦挸ㄷ㌶㥢㠸愰ㄵ愰ㄶ㥡ㅣ㝦㈴搶㈲㝡ㅤ搵扡㑤攰㄰戸〰挳ㄴ㡢㤴㌵挵㌰戴昰㐳㘲〶改㌷搱摦攷㡦晤敡㌹愶扦ㅤㄳ㑡㄰愲㉡㍤㜹ち㐲㌵昹㑦㈷㈷敦愱戴晢攴㍦戹搹攴㐷㈸㈳㌹ㄳ㍤〰ㄸ敡ㄳㄵ晣㔱㡢㘹㈰挳㝤攴㑦㥣㈷挰㉦㌵㡢ㄱ〳㈵慡敦㈵㘴搰㤷ㅢ慥㕡㕤㐶㈶敥㕢攰晡㌳㍥敥㔱昶ㄱ㉦㐲搲㤷㔳っ㥤戱挵㔰㉢㤶散挸ぢ扢㈳㘴〳㤶挴慦㘵扢㡡昴㘲㡦ㄱ㝥昱㤱ㄸ㌱㈷㑦挶㕦㑥㘹㔱捣〹㠴ㄱ㕡愴愴ㅦ㙥愴昸㜰摣昸㝢捦戶㕣愶愸㐰〲昵㠴㡤㐹㘷慡昱㠷攲挶㠷昱㔵㤶㙡㤳攳つ〲愶攷攳挶愴㐷搵昸挹戸昱㕦てㅦ㘸㌶㡥改㌰ㅣ戹㐰㈲挹戰㜵㤵昵㥦昸㐲㝢ㄸ捤ぢ㈶昵攷㠰ㄹㄶ㔳㜲慡搰㜱㕤㘹搰㐱㕣〶昱昰㡤昴㍣敥㌶攱ち〸㠴㙣昸扦㑡㤸挳㥤愷㔹㈳㌰昰〹昴㍡㠲捤㥥慥㥥搸戹㘸㉥㜸㈸攸㌷攷㝣㥣愹㙡㍢㡡㐴㘰づ攴挳晤摤挲㈹㥦㘱㍡戶昶㈳づ㤲㘹扣㐳搲㥢昲㔰㠱㤵扣昸㐰㡣搹摣ㄳ㉤㥡搱ㅦ〷㜲㈰ㅤ〱㤹搱㥦〰っ〳㌱扣慤㥣ㅢ㈱晦㉢收晥〰㉢㍥㐸昰㈴㐰㔹㤰搹㐹〷挵て〱っ挷晦愳㡡戱㜵攵㉦搱挴愳昱换㤲㘴愴㝦㠴ㅤ㍥ち搰〷昷慤㠸㠸戰慣㝦っ㈵挹㤷㔲㜰愸㤷㝥㥣ㄵ㥦㈰昸㈴㐰戹挰挹㙥㝢搷戸愶ㅥ㌵搷愷搰㔵㍣㐱㠰㥦晥改㈸挳㠷〲昷攱敤摤㙤㘵ㅥ㠵攳て晢ㄱ敡㑣㝤挱㝦て扥挸摦攰愲晢昰㍦㈴㈹㈸挳㍥慦扤慤户戱挸〴戴挹搵㙦つ㥢晤ㄲ挶攱扡㕡ㄱㄴ㡥㐸愵㔲搲㡡㠲昸收㠲㠵㡢㌷昰㉤㐷㔵㠵㄰愴〱㔵攱㐴ㄵ挷㔰愰㝦㤶㑤㠹㘳攲㐹晦ㅣ㥦㠸㕡戵㠹㥦㡦㌲㝣㄰挴慢敡晥㜰搴㍤㝥㈱㜱慤㉡慣戶ㄷㄲ晦慡㘲㌵昹挲愷㌸㤸㐲ㄶ㌲㘹慤㐴愴㈹ㅡ晡㌲㌲㐳㝤挳㥣摢〳昸㘹㤷㐵昵㝣敤晣昹㝦づ攷挷慥换扦晢㕤㠳㑦㍤晦换ㄷ㍥昳摢昷ㅣ晤换扦㥥㝥晡户㝦晡捣㜳晦晡挹捡搱㥦㍦昳捣捦敥晤摡㜳㉦散㌵扦慥㍤晢捦昹慦㍦㌶㜹昱戱㐷捣戳户㥤㜸散挱㠷敦㥦㕣扣㙡扣慦慦扦晦搶搱㕦㕣晢挶㤱㈷ㅥ昹㠱昸改敦昷㍢㐲㉤ㄷ㉦㐸㑦㠳换㔶搳昸ち㌲㤸〶㘷晣㡡㑥㠳换㔵ㅢ戵ㄲ㙤搴㌴ち㑡昰㘹㜰〲慡挲㐸㔷っ晣〷㠵扣戱昵</t>
  </si>
  <si>
    <t>faa3ee01-9bfb-4333-b742-7cca748c6e20</t>
  </si>
  <si>
    <t>㜸〱敤㕣㔹㙣㈴㐷ㄹ㥥㙡捦㡣愷挷昶摡㔹㙦㡥つ㈱㜱〸㈱㄰㉦捥㝡㤳㈵〴㔸ㄶㅦ搹㈳㜸搷捥摡扢〱〱㥡㙤捦㔴慦㍢㍢摤敤㜴昷㜸搷㈱㔲㈲〸㤷㈰㈰㜱㠷㠴㐳ㄱ㐲㠲〷㡥㤷㄰㡥ㄷ㈴㈴慥㈰昱〰て㐸㍣㠴㐳㠰〰愱㐵〸㠹〷㈴昸扥敡敥㤹敥ㄹ㑦摢㤹㈴攰㈰搷㘶㝥㔷搷搵㔵昵㥦昵晦搵挹㠹㕣㉥昷㙦㈴晥㘵捡㌳㜳捤攲扡ㅦ㐸㝢㘲挶慤搷㘵㌵戰㕣挷㥦㤸昲㍣㘳㝤捥昲㠳㍥㌴㈸㔶㉣搴晢㠵㡡㙦摤㉦㑢㤵㌵改昹㘸㔴挸攵㑡㈵㕤㐳㍤〷攱㙦㈴㝥搰搹㙢㌰て戰㌴㌳㍤扦㝣㉦㐶㕤っ㕣㑦敥ㅢ㍢ㄳ昶㍤㌴㌹㌹㌱㌹㜱摢敤㤳慦㤹搸扦㙦㙣愶㔱てㅡ㥥㍣攴挸㐶攰ㄹ昵㝤㘳ぢ㡤攵扡㔵㝤戳㕣㕦㜲捦㑢攷㤰㕣摥㝦敢戲㜱摢㙢㈷㙦㍢㜸搰扣攳㡥搷づ攲搵戹㤳㌳搳ぢ㥥㌴晤攷㘹捣〲愷㝣摢慣慣㕡㕣㥢㤴㥥攵㥣㥢㤸㤹挶㝦㠹昹攳改昶㠹挵ㄵ㈹〳扥㕡㝡搲愹㑡㕦㐷挷〱㝢捡昷ㅢ昶㉡㌷㑦户㡦㘰愹㔵挳てち昶㡣慣搷㜵㍢ㅥ戵㘴捦㘳敦敡挶晡愰扤㈸ㅤ摦ち慣㌵㉢㔸㉦摡㑢ㄸ愸㌶㘴㥦昶攵㈹挳㌹㈷㑦ㅡ戶㉣搸㐷ㅢ㔶㉤ㅦ愶㕣摦㑤昱㄰挹㠹愹攵㑦㑣昹昶捣㡡攱愹ㄹ昹摣㤸㡣戶㐷扣㙡扡敤つ摤挷攵搴搵ㅢ㌸收㡤摤摢愱收㡣攱㌵㕢㡥㜷㙦ㄹ㉤㍥㍤㠳㕢扡户㑦散㔱扡捦慢扡昷㔱㕢㤹㙥㉤〶㈲晡㔶㍢㡡挵攸㐵㠲㝥㠲ㄲ〱ㄱ愸㤷〹〶〸〶〱㐴晥敦攰㤲㘴㐷㔶㘹ㄵ㐳慢㉣㙢㤵慡㔶愹㘹ㄵ愹㔵㑣慤㜲㑥慢慣㘸ㄵ㑢慢摣慢㔵捥愳㑤㥣㑡晤晤㕡㤴扥昲㤳㍦晥昶挴㈷晦㌶昷戱㝦扣昳㔳㝦㝡㑣晣㘸㜰ㄷㅡ摤ㅤ㑤㙡搶㌳㉥㠰搴㕡㔴㝣㘰㘲㍦晦㙤捥ㄵ㘰ち昳愰㜹扢㌹㌹㔹㍢戸摦戸搵㈸㜰㔹ㄹ挸㑦ㄱ捡〸摡づ㥡昷㔸㑥捤扤愰㜰㜷捤戴攱换搶挶㡤㐷㜵搳㙥挳愹昹㉦搹戸㜲㌱㌰〲㜹㜵㝢㕤㙢㤰㡥㙥㡢㘰㉢改慢昷㕤摢摥敤㡣㔱㙦挸愹㡢㔶㔸晤搲戶㙡㝢挱㜳㤷扢搷ㅥ昱攴㝤捤摡㡥ㄹ㑤㐱愸慤愹戱㍢㔶ㄹ㔶㠵昳ㅡ㥢㔹㜱㝤改愸改㡤摢ぢ㔶昵扣昴ㄶ㈵㐵愲慣愹愵㕥捥慡㠸敢挷攷ㅤ㉣ㄴ摣㕡㝢㔹戲搴扣昳㘲〰㘶㤶㌵捣㜷㔵㝡挱晡㤲戱㕣㤷㔷愴㥡㠴敦㐴挵摥㔴昱ㄱ户摡昰㘷㕣㈷昰摣㝡扡㘶慡戶㘶㐰搲搴㑥戸㌵㤹捦攷㤴㔰㠰挰敤敢ㄳ㈲㜷㜳㜷㕥㔰㠸㐸愰㤸㡣㝣㔵㥡散㈶㑥㘱㜵㔸㐵㕤㤲㈶戵㤷㙦㌲ㄸ攷慢㘴㑣〶〷㈶搶㐴晤挱㤷扥㜲㤳㘱㥢㤸㝢㘱ㅢ㙢摡㘸戴晡㍢搷愴ㄳㅣ㌳㥣㕡㕤㝡㤹摡㑦㜰㐶晡㌰㐰攱ㄲ〴㐲搷摤愳慡ㄳㄷ挵㝡攱㠲㔵ぢ㔶㡡㉢搲㍡户ㄲ愰っㅡ戲㔴攲搶㜶㈴晤㌲ㄴ改扢〹㐶〱捡攵㕣㜱てㅢㄵ换㐸戹〲愵㔳〶㉦愷〴㌹晢愵㜸㜹搰㍣㘲搵〳ㄹち攵㘱ㄳㄸ〹戵㥡㐲摦㄰㐹搴㌳慡愱挲搸㘳捥㠰㑡つ换〹搶㕢㝣摢挱㈵㈱ㄱ敤挸㠲㙤㈷ぢ㈸ち搲昲㈰㠳搷㐰㌴㙤搲㈰扢㜱㠲㠸挸〶ㄹ㥡ㅤ㈳愷㠹㡣敤㌳㘴〴摡㈷㠹㤰慤昷㜷㤷ㄱ㈴昶㑥㈲㘵愷慥晣戸㈳捤㌶戲攵㐳㘹㜶㌹㌶㑥扦㠲攰㑡㠲慢〸昶〲㠸摦㐳挲㔱捡㈱㥦㑥晡㑢昰慣㕦㐳昰㔲〰挸㈷㥤㌲㈷ㄲ㔵戴愱戶㘲㐷戲摤㄰散㘴㘵ㄴ㠷愲㠸㤶㜱搳捥ㅣ戲ㄵ愲㈳慢㜳㝢攸摡扣搲戱慦攸㑥㥢挹攵㤰㈲㌳㥡㈶搷扡㐹搳攴㐶戰㘹㡦㝡敢㍡㜴搵挷〸慥〷㈸敢㉦㈳㠴㜲愱挱扢㌵㡢㥥㈶攵㡢挲㉣ち㡤愱ㅥㄵ㝣㐴挸㍣〲㘴〸戹㡥攳换㡥つ㑤㜳㜰摣㝣搱摢搰晢扡昳㜷㠴昴㌶扤戹愳㜷攸㉦㝡㤶㔶昴つ㘰㉦昱慢慥㍡收㐶㔴敢慦㈰戸〹愰㑤挷昰昴晤㙣㍤〵捡㉣戶ㄳ㤸摢㑤慦㡢戲㜲㤷搶㔷愵搲㐰㠳收㤲攱㥤㤳〱㍣ㄸ挷㘷㘱ぢ扢㥥㈷敢㌸搴搶㔴〱捦㉦㔷愶ぢ晤㈳㥥㙢戳㝣挷㐶昶㕦ㄴ㡡㈱㥦搷晡㜲㙤㌶㜲㠶慤㤹昰㌹㈵㈸㠷㍡昸搶敥㐲㈲搱㈹㑤㕥散㤷㝤扥摣㤱㈴㍤㐸㤲㔷㘱㕢昵㥢〱㈰㈵挴㉦扡㑡㤴㝤㙣昶㙡搵㉣㙤戱搲挳㤷㜱㍡㘹昳㈱㜶挸㤱㠱搰㘱㍢つ晦㠱㍦㘴㉦㕡㜶㔳㔸っ搸ぢ搲慢挲户㘰搵㘵㌹㜴换㔲搴散挸㡡ㄷ㠹慣攸敢敢㌸㑦㘷昸搷ㄴ㥤戴㐹㠹㑣㙥捦慣捣㌸㡢户㠸㡡㙥㐸ち㤵っ搷㔰㔳〲㤱昲搸㜶㐷挴昴㈰㘲㙥挱挶改晢〹㈶〹づ〰ㄴ㝥ち㐹戳搵㡤㘷㌸慣㝦㡤㉥敤㑡㈵㔷㈲ㅡ㤴㡢昰改慥挲敡㈰㕦昳ㅡ㠲摢〱摡捣ㅦ㍡㈰㌳〸㔱愱㍣㐱㠸㉡㡣㘱㥥戱攴〵搲挰㉥ㄳ㠱愵㤹㠶ㅦ戸㌶㈳㑢㐳收慣㝢搲つ㘶㉤㝦ㄵ㤱愸㔱㌳捡摣戳㈲ㅤ㔰㤷〷摢愷慤捣㕤㕤㤵㌵摤㕣㜴ㅢ㄰㙤挷㘷户挳挱ㅣ摢〱㕢㔲㥤捤㌵㠱搴摢昹ㄸ㐳〸散戴昲户搲ㅢ扢㈵敦㌷て㝤挳慤ㅤ㕤戲㠲扡ㅣ㌰㐳愶㘳扥㘴㘲ㄷㄱ㌹愸昵㥢㑢㉢㥥㤴戳㐳收㔱捦慡搵㉤㐷ㄲㄹ戰㌱ㄹ慣㥢㤳攷㄰㈵㔸㜰ㄹ〳㜴㥤㈱㜳挹㌳ㅣ㝦搵㘰㐰㜱㝤㜷敡㐹㠵㐵ち收戴攵昸㜸㡤挲㈲昳挳收攲㡡㝢〱ㄱ摢㠶敤ㅣ㌵㔶晤㙤㠱ㄵㄲ㝤㤸ㄴ㙡㠴㈶㌴㑤㤴戴㔲慦昸攱㠱㍣㤷㈳敦攵〹ㄴ慥㜲〵晡捣㌳戴㌷敤晡㈸㐶㐳㍢㥤㜳ㅡ㐴昴愸㔹搸㤷㈹㠵挹愹晡ㅤ散昳㍡㠰扢㡥㥥㍥摥㡡捣㍤愷㤸㜵㠱㕥晥っㄹ慦挸愲ㄹ〸愱㡦㙥㔷㐸㉡㉣㈳攵㠰〳㠱㜱㍥戵㤳㕦搹㔴㙤㐸㝤扢㕡搹㈳㠸㈴つ㥡㜳挶戲慣㈳ㅥ㙤ㅢ挱慥昰㠱㘶慣㙤搴晤愸㙥挶戵㙤㠳愴㐵戲㕣慣ㅡ愴攰愹㐶攰㥥戰ㅣ摤〴㔰昴ㄷㄵㄹㄷ㔱㘴㕣㔴㐵㠳收㈹㠶〶㔵㥥㘳戹攷っ捦ち㔶㙣慢㕡攲〳挳㜷摢㠲㈶挱攴㤴扣㜱㡡㘵挶㔸㥢㌵㝦ㅡ㈶㥢㍦〱㜴㑦㐰㡥㜲敢㠸㝥㔰慥㈶㡡昸㈷㝡㜴㉣㐱挰㈸㑦愹晥〶㡣㔶㔰户㈳㈰㜲㔴扡ㄴ摦挱戸昴㈰㑡㐲㈱㐴慣㘷㤰〸扣㠲〹㈱㑦ㄷ㜷搱㍣敤㔸〱戰㐷㡣ㅤ戱㠲㔹ㅦ㈸〷㐰㔶ㅤ㙦慦㔶㔸㑤㜴ㅡ㙦㙡㠵敢㍡慢㔲㙡攲摡捥晡愴摥㜸昹〶搵愱㐶㐹㈸㤲捤ㅡ㈹捤戲挱ㅣ户㤳慡ㄱ㑡㜱挷摡㐶㘴戹㑤㕢晢㑥㈹昲ㅣㄴ㤳愲㤹㥣晥㐶㐵㈸〸昴㐶㍡㡡㍥晢㙣昲㐸㐴㙣㘸〳㤴愹愷挲戲愱㈸㈴㜸ㅣ搷㑥㙡戲ㅣ㍤㠱扦㜷㐵搹昹㐶㤰慡㌱㉥㡥㐶㌵㔳昵晡扣〳㉢愱㙡㜸戵㙤挲搲㔸㕢愸㘱ㄴ㜷昶慡晤挳敤㑤㌰㘲挴㠶っ㡢㘴昸㠱挱㠶㘰慥㐴㐴㤵搶搹㄰户扡㔹㕣攲搳〹㘹㌸ち〳㡢㐱㙤㔶慥㈹㌳慣㘵挹㡦慡づ捤搳愲㤲愳扡㌹戵散㐳愵〷㤴攳㔱㑥㌱戸㙥㥥愲㕢ち㤷ㄸ㈰㜶愳摣㐲㌵㐰㘸户㌹〰㑦〶摢〷㍢搸㤱㌰㜴㐲敢㡣ㄲ戴㤸㐱戸改㐵㤰㜷㝡挴㈸〴愹愹搲㕦て㡢捦㍣捡昴攵挳戹㌸ㄳ㌱ㄱ挳㕤ㄹ搶〳㤰㥢㡣㑣㤲㡢㐶攳㠰㜹㈸搹㤴搰ㅡ㡣换㘸㘲っ搱攴昳〲摣攲㘱㉣㙢㤸㙣㔳挷㍤户挰㠲㌶慤慦敦㌲㡦㍢搵㝡愳㈶㤵㉡㡥㘵戵搲挸摢〲㕦敡ち㘰挸㑤ㄹ晢ㄲ㙤捡㜱ㅣ愵戸㘴㈲愹㜷扢㕢㍦㡣敥㑡挸㘱㡣㔰昵㌱〰㤹攱㤶㔳〱戱㡥㝢ち戴て㜷户㉥㌰愸换㜳㄰㘹ㅤ㐵㤴㘵㜳戸㡦搷㡣㈲㉢㙥㑢㌴㥢㜳攷㕣摡散㠹愲㘳㔶㔸戴㉤㜰㠴㜵㠶〲慦㔸㠴㌱搲㈳㜷㜰㤰摣愵㈸扡㝢改㐱昵㤸扢〴㔴㈸っ〸挶㜸㜹ち捡㘱㔷挱㐸㌴戸戵㤶搵㉤ㄸ晤愵攵慤㑦〱〸㠶㠱㘹搰愲㘵㘸攰捣㈰扦戹㠱㜳ㅤ㕡㘵㐴㐸㤳挱㔴挶㈸㐷攱戰〷搲挰㑤㍣㐸㉦戹㔰㐲挱ㅥ㜵㌱㉣扥㥢㌸㙥攳〸攴㝡㔷戴ㄵ㉥ㄸ〱慥扦㌸㝢摢㡡愷㙡㌵㥡扢昰捦㙤ぢ慣攲敡㐶㘸㡥敥㘹扢㤴愵搶㐴晢敥㠶戶㡡攸戲攰㠱搹㠹㘳㐶㔰㕤㔹っ搶挳㡢㕢扤㤲㐴攱扢昰㐷㙣昸㜶摡捣㜹㠷ㄷ㔱搷戸昷攵昳㡥㝢挱㔱昳㉡昸扣昵〷ち挱ㄵ捡㝥㑥戲㥣晢㌷晥愹愴攵ち摦挱㠸㕢㤹㌶〷㘸㌹㐸㌸㡥㑡愱㌴ㄸ㐳㍥㠳㑥㘰扢㌷㙦つ㤰㑥昶戴搱㠹ㄲ〴㍢㠴攲㥣㝢摥〸㐵㝣ㅢ㘸㈵戱㠴㐷㜲散昹㤷挰晡攲㕢㈸㈱挲昱ㅣ㠹㤱挲昵挸㘵愰㑥〹昲攸㡡〷㉦㠴晣晦㘰㈹收收つ搹改扦挰捣攲愹㜶ㄴ㕤㑢ㄴ㝤戳〳㐵㠲搷㐰ㄴ晦摥㠵㑣㥣ちっ捦㍥慢㐰㌸搷戴㜳〰㝤挱㉦晣晥てて愰㜳ㄱ㜱㈸ㅢつ愱戶ㅢ昱摣㌴ㄱ晡㍡㑣〴〶敦㤵㠹㜰〲ㄹ挱㈸㝥㘸㈲㐴㍥㤰㜹ㄴ㙣㙥㈲㌰戶㤷㘱〸㈶㐲慤〹户〶㑦㘰㔷搸昴㡦ㅤ挳挵㕢改㈳㥥て愵攵捦挰㈳㜵㘵㘷昱㠲攱ㄹ昶㕥㔵㝥搴㤳㔰㘶摥ㄲ㙥㜲慢㉥散㜱昵㠶㌵慡搳〶扥㡡搸换扥攳㑦搹摡晤㜵㘰㉡㑣愱晢㕥㤴㐴昱㌹㜸㑡〴捦つ戹㜷敥昹敡搱㕦摦晦昰㘱摥㔶㡢㘸戵㜰㌳昲扤㠴散㘹㑦㈰愸㥢戸㈸㜲㌹㍦捣㌹㠱㑦㤴慣搵扡㥣㌶㍣㘵〵昹扡ㅤ㘷㐳挲㑢㄰㘶㐸㝣摢挱挴挴扤㠷搰挴㥣㘸㜳㜷慡て㥢㤴㡢㜰㈲㌱㜱攵搳㡢挳㠶愲慢㈲敢搱摡㉣㝣ㅤ慡攸㔹㑥㈴㙤㈵昲搴挹㈴挴搷摡㜵摤㐱敡扡昰㈰挳戰㝦㉣愵㄰㝦㈰㠵㈴て㌲扣㄰愰愴搴㈹㘴ち户〰㘴㐴搶摡㐳扣昴〷散〸〱搹扣昴搷攳㐷㉣搸㐵㘰㌱昶挵昷㝡愲愵㉤ㅡ慢㈶㠶㙡㤵㑤戳㠸㡣㍡扣戰㘰㌲㉥㑤㔹㍡〷㔰扡㘵㜷ㄴ㕦㌲㘴㠷㠱户㤰戱ぢ㌶㝤㙤㘵晢㑥愷㠱㥢ㅦ搰㌳㐵愵㌰㥣摤㉣挶㠱㔴挵攸挲愶攵戰㠸㜰㌸捣㌶㍢つ㐴㔵搰㔹捥㕥㥣㑡ㄱ晣攳㤷㐲慣ㅦ㙦つ㝤㜹㝢つ㜵㥣搳㡦〵昲〷晢敢摡っ挶挶㕢挹㌱㤰戰㕢㙡㔵ち慦㠷㥦㐶ㄷ㉥㍡㈷昴㔶㔶㍤㡢㠳昸ㄳ㜳㔶㥦搶愱晦ㄹ扤㔶㥣㜵㠶扤ㄹ挶㑥改晦户愰㘰㔳晤㉦ㄸ㝢㔳㠸㝣㙢㤴攱㐳㠱昱㤳㑤㐳㌶摣ㄱ㜸戶ㄱ扣㔱〷㘳㕤㘵ㄹ昲づ㜳㡢昸㜸㌵慣㔶ㄲㅣ㝥慦㝣晢搵㠸㘶㕦摡戶〳㕤〵㈰㘳㐳㠵㉦㐱〴㜵敤㥦㤶㕢昱改戶昸㌶㜴摣㜳挲慡㝡慥敦㥡挱搸㈲㠲扥㘳晣昶捣㠴捤㌳㈵扥搸㉥搴㙥挰㑥っ扥〳㝤㑥捥㐳㘰㥦㤴挱昳ㄵ㡢㘴㘴㘱㙢㤱っ㝥㠷㌴㤲〸㉦㔱㍢昸㤷㤹㜷㌷㡣㍡㍥㕤㥤㠷慦㌳㘰搱戶㔰㜶愱挷戹晤㠶〶户づ㜷戴摥っ㝦㤰慣㑦㈰㌸愶㤶昰戶㜷㜰㕦摢昷㈰摤㌶㕡㥢捦㤶扤昹摣捡㠵㈷㠰搳慤扤㈵㑤㌲㝣㈷扦㐸㉥敢ㄵ㐲㕣摡㍦㡣扦㕢㜷搰㜲戴㔱搰㜹昴㐱㌷ㅤ㘱攳㜵戸捦戶㄰晤㍥㡢慥㘲㡡〰㍦摤㠸㌲㝣㄰昴昲㤱ㄵ挵攷戰㉣㌲〰昲戹㘲ㄵ愰㍢㔵㍦扥ㄱ㔵㡦挴〲㔹昰㡣㐱㜲㉣㡢挷搰㤰摢ㄵ㉥ㅢ㉣挱㘵ぢ㜵㤶㐰㕥㡦㝢㈰㥦ㄳ㍣㑢愸㠹㝣ㅡㅤ㥡ㄳ戱㔰摡㝤㈲㥦摣㘸㈲㠲㔶㠰㕡㘸㜲晣㤱㔸㡢攸㜵㔴敢㌶㠱㐳攰〲っ㔳㉣㔲搶ㄴ挳搰挲户㠸ㄹ愴㥦㐵㝦㥦㌹晣搳愷㤹晥㜲㔸㈸㐱㠸慡昴攴㈹〸搵攴㍦㤲㥣扣㠷搲敥㤳㝦㘴愳挹㡦㔰㐶㜲㈶㝡〰㌰搴㈷㉡昸愳ㄶ搳㐰㠶晢挸㥦㌸㑢㠰㕦㙡ㄶ㈳〶㑡㔴摦ぢ挸愰㉦㌷㕣戵扡㠸㑣摣户挰昵㘷㝣摣愳散㈳㕥㠴愴㉦愷ㄸ㍡㘳㡢愱㔶㉣搹㤱ㄷ㜶㕢挸〶㉣㠹㕦换㜶ㄵ改挵ㅥ㈳晣攲㝤㌱㘲㡥ㅤ㡢扦㥣搲愲㤸ㄳ〸㈳戴㐸㐹㍦摣㐸昱摥戸昱㌷㥥㙣戹㑣㔱㠱〴敡〹ㅢ㤳捥㔴攳昷挴㡤て攰慢㉣搵㈶挷ㅢ〴㑣捦挴㡤㐹㡦慡昱挳㜱攳㍦ㅦ搸摢㙣ㅣ搳㘱㌸㜲㠱㐴㤲㘱敢㉡敢㍦昱㠵昶㌰㥡ㄷ㑣敡捦〱㌳㉣愶攴㔴愱攳扡搲愰㠳戸っ攲攱ㅢ改㌹摣㙤挲ㄵ㄰〸搹昰㝦㤵㜰ㅣ㜷㥥㘶㡤挰挰㈷搰㙢〸㌶㝢扡㝡㘲攷愲㌹敦愱愰摦㍣敥攳㑣㔵摢㔶㈴〲㜳㈰ㅦ敥敦㈶㑥昹っ搳戱戵ㅦ㜱㤰㑣攳ㅤ㤲摥㤴㠷ち慣攴挵扢㘲捣收ㅥ㙡搱㡣晥㈰㤰〳改〸挸㡣晥㄰㘰ㄸ㠸攱㙤攵摣〸昹㕦㌱昷扢㔸昱㙥㠲㠷〱捡㠲捣㑥㍡㈸扥〷㘰㌸晥ㅦ㔵㡣慤㈹㝦㠹㈶敥㡦㕦㤶㈴㈳晤㝤散昰㝥㠰㍥戸㙦㐵㐴㠴㘵晤〳㈸㐹扥㤴㠲㐳扤昴㠳慣昸㄰挱㈳〰攵〲㈷扢攵㕤攳㥡㝡搴㕣ㅦ㐶㔷昱㄰〱㝥晡㐷愲っㅦち摣㠷搷㜷户㤵㜹ㄴ㡥㍦散㐷愸㌳昵〵晦㥤昸㈲㝦㥤㡢敥挳晦㤰愴愰っ晢扣昶扡摥挶㈲ㄳ搰㈶㔷扦㔵㙣昶㜳ㄸ㠷敢㙡㐵㔰㌸㈲㤵㑡㐹㉢ち攲㥢ぢㄶ㉥摥挰户ㅣ㔲ㄵ㐲㤰〶㔴㠵ㄳ㔵ㅣ㐶㠱晥㌱㌶㈵㡥㠹㈷晤攳㝣㈲㙡搵㈶㝥㈲捡昰㐱㄰慦慡晢扤㔱昷昸㠵挴戵慡戰摡㕥㐸晣慢㡡㤵攴ぢㅦ攵㘰ち㔹挸愴戵ㄲ㤱愶㘸攸㌱㘴㠶晡㠶㌹户㝢昰搳㉥㡡敡搹摡搹戳晦ㅣ捥㡦㕤㥤㝦换㥢〶ㅦ㝤收挷扦昹攸捦摦㝥攸て晦㝡晣昱㥦晦敥愳㑦晦敢扢换㠷㝥昰挴ㄳ摦扦敢昳㑦晦㘶户昹〵敤挹㝦捥㝤攱㠱挹昳て摣㘷㥥扥昹攸〳㙦扤昷敥挹㠵换挶晢晡晡晢㙦ㅡ晤攱㔵慦ㅣ㜹攸扥愷挴昷㝥㜹愵㈳搴㜲昱㠲昴㌴戸㙣㌵㡤捦㈲㠳㘹㜰挶㉦攸㌴戸㕣戵㔱换搱㐶㑤愳愰〴㥦〶㈷愰㉡㡣㜴挵挰㝦〰昳㍦戵㤴</t>
  </si>
  <si>
    <t>㜸〱捤㕡㙢㙣ㅣ㔷ㄵ摥扢扢㌳摥㔹摢昱㌶㐹㑢摢昴㌱戴〹㝤挴戵散㈴㙥ㅥ㙤敡昸㤱㠷愹昳㘸搶㐹㠵〴㉣攳摤㍢昶搴扢㌳敥捣慣㘳㔷戴㠹㈸㤴㡡㠷㉡〸敦慡㉡㡦昲㠳愲ち愱戶昰㠳㤶㔶㈰㠴㉡㐰昰〷㑡㠵㔰㜹〸㐱㘹㐱㠱㥦㍣㔴扥敦捥慣扤慦㌸㑥ㅡ愴摥㘴捦摥攷戹昷㥣㜳敦戹摦㍤敢㠴㐸㈴ㄲ㙦㈲昱㥢㈹捤捣㔵昹挵㈰㤴㤵扥㔱慦㕣㤶挵搰昱摣愰㙦搸昷慤挵〹㈷〸㔳攸愰ㄷㅣ戴〷㕡㈱㜰敥㤳㤹挲扣昴〳㜴搲ㄲ㠹㑣挶㐸愲㥤㝤昸挹搵ち〶㑢㐶㥡〴扤ㄲ㕤㍡挸攴攸挸攱愹㝢挰㍦ㅦ㝡扥散㌵㡦㐷㕣㜶てっ昴つ昴㙤摢㍥㜰㙢㕦㝦慦㌹㕡㉤㠷㔵㕦敥㜶㘵㌵昴慤㜲慦㜹愴㍡㔵㜶㡡㜷捡挵㐹㙦㔶扡扢攵㔴晦搶㈹㙢摢㡥㠱㙤㠳㠳昶捥㥤㍢扡㍡挰昹搰攸挸ㄱ㕦摡挱挵攲㤹㈱捦挳愳㈳㝤㠷㘴㜸戱㜸ㅡ攰〹㤶㘳㕥挵㜲摣㡢挴㔴愳㤶〷挷㘴搱愱㌹愴昴ㅤ㜷扡て换㙥㔰㌴㑡摢晢㠶㠳愰㕡㤹愳㘵㐷㘵戹㝣㔴摡ㄴ搱愸㡣〵攱ㄱ换慦〴㕤ㄵ敡㑦晡搲㉤捡㘰㑤㘵敦㐲㔱㤶攳㡥㐱愶㜲摣昲て㔹ㄵ㤹㘶愶愷ㄲ搹㜰扣㈴摤搰〹ㄷ扢㉢挷〲㜹搴㜲愷㈵扢㘸㤵晤㔵愷㈴搲㘹晣㑦愴㙥㘸户㌲㘵㈸慣愷㌲㍡㘳昹愱㉡搱㠴〳敤晡搶㙤ㄷ㈵㐵挳扡戸愵捣愶㔱戴㔹摥愹摣㈹㝤㔷㤶㌹〹挵摣摣搴㐹㈹㈸戲挳㤲愶㙡攲搰㑡愲㌳㍥づ㤴㠵戳攸㔹㤰㉢㡥戹㡥敤昹㤵摥㠳㡥扢扢扦慦㝦戰昷愰戵㠰捣㤶㐱愳ㄳ捤㐶ㄷ㍢㜶㠳㡣㡤㝡㤵㌹慦敡㤶㘴挹戴㕣户㙡㤵㑤㕦捥㑢户㉡捤㘹摦㍢ㄱ捥㤸扥ㄵ㑡搳挳㈱㌲㕤戹㄰㥡㠳收愲戴晣挰摣㙤晥攰扢愶㌹㕣戱敥昳㕣㘳つ㜹昶㠰㠸昴ㄹㅣ搷晡㈵㜱扡㘴挱㑡ㄶ愶㤲㠵㘲戲㔰㑡ㄶ㘴戲㘰㈷ぢ搳挹挲㑣戲攰㈴ぢ昷㈴ぢ戳攸㔳㑢㤹㡥㡥㘴㥣摥晢攸㙢㔳慦ㅣㅡ㍡㜰敡晡攷昵㈷㑦愷扦㉥㜸㐲戹㠹昴㑢㐰㝡㈷㝤〷㤶慣㤶㉤扦㈶攵昶挱摥〹㘷㔶㤶ㅤㄹ㠴㄰㜶㘰换㤲搸挶㕡㡣㌰搶㜱散㝡㤰㠹㐹换㥦㤶愱㌹攷换㕢㐲㙢挱昴收㈴挴挴㝥㌴㉢㘸㜰㕣昳挶扤㈳攳㤳愶ㄵ㤸㥢㑣捦㌶〳慢㉣〳ㄳ搵ㄴ摤ㅣ攸扦愹㔱晡㑢挹晢㌲㄰㈱㕥㠳昴搴挰㕤挱扦㤳ㄵ晢搷㝢㥦晢敡㈳㝤晦扤晢收㔹㐱扦愲㤶㝥㌹㌲搷ㅥ㠲㘹攰㉥づ㑡㑢㔹㘷晢捥敤扤昹戰㌴㈶攷㘹慢晥㕢㡤㉢挸昱㑡㄰㝤〳挸挶㜱搷〹ㅤ㔸愶攸〵㈱搷㔳戴收㥣㄰攵〶ㅢ㕣挵㌱㔷㠳〸昱㠷㜸ㄵ扢〶攴愶㝢㌳㐳㝢㥥ㅤ晡捦㑣敦戶㤷㌷㜴㕤㡢收扢攲晤㌲收㕢㈷㈰昱昲攱摥搲㠷挹㔷攳搵攰搴散㐱㝢扢㍤㌰㔰ㅡ散户戶㕡ㅡ㙤扣摡攳㤳㐳摦㉥晢㙥挷㉤㜹㈷搴㜹扡㙡挴ち攴昲昱摡ㅣ户㡤㜰㔳〶ㅢ摡㌷收㐳㙣捡㉢㥢摢㤶㤹戴っ换挳摢挸㐰捤㜷㑤昳戰攳㔶戹㉡㠷ㄷ㥣愸昹敡愶㘶昸ㅡ㙦敡散慤晢㝣㜹敦㔲㙢换㡡㠶㜱㍤捤㉢摥㉤㔲㐶㑤搱扡捣搱ㄹ㉦㤰慥㕡摥收捡ㄱ愷㌸㉢晤扣攴攵㈶㑢㑡搴㑢搹ㄴ㍢扣捤㠷㕤〸ちㄷ㔶扡慥扥搶摥扢㄰㑡ㅥ㘳慣ㄷ扢㌹㕣㥣戴愶捡昲戲㠶㉥搱㥣㘸戸愲愱㝡㥦㔷慣〶愳㥥ㅢ晡㕥戹戱㘵戸㌴㙦挱挹㤶づ㝡㈵〹ㅦ㤹㘶㑡㠸㐴㉡㈵㐴攲收㜶㡥㡡㝣㠳㍥㘵㠸㍡ㄳ搳㘵㕥摥戸敤晡㡥㐲㍡㐸㔱㤶摣㤳挹㡤攷㘰愶昸㤲捤㑤㘷敦㔸㈷ㄳ㤱〰㝢摦㜸昶摥㙡㡤㑢㤶晢晦㜶㑥㈶搷挵搲敦㠵㙢つて㔸㙥愹㉣晤ㄵ㜱㡣攰㡡っㄳ㐴㝢ㄵ愷昹慣摡愳㑢ㄴぢ㘲㔱㍢攱㤴挲ㄹ㝤㐶㍡搳㌳㈱敡㠰㜵㌲ㄹ慡戶㈵ㄹ搷愱捡戸㥥㘴㈳㐸㌶㥢搰㌷戱㤳㥥㌵摥ㄵ㤵㌵摥づ攷㝦挵ㄱ㑤ㄹ敡㑡〵晥〹戴捡㍥捦て㔲愹㜶㔲ㅥ戰㠲㤹㤰摢㜳挵㐶㕥㘶挶つ㈴㌷㠲㘸扣㘳捥㜹㠳昲づ㑡ㄳ㈸㜴㔷挶愴㙤〱㥥愹搳㉤㉣慤ㄲ摤昸㘳㌲㈸ㅡ㠴〶攳㌸㉢ぢ㍡㜲㌸晣㕤ㄵ敥㝥摣㙥㘳㔶㘸㜵㔴〰㌲㘰㈵〳㥤㌶慢㔱㔱㡥㈳扢㔵㕤㙤㜴㌶㉥㠱㐳㑥㘵敢戸㜴慡㡡㠸ㄳづづ捥㑢㈲ㄵ搳㤵㠵挰摡〹〳昴收㡤摥〸ㄶ㠰㘱㑡晢愵㍢戹㌸㈷〳㜶捦攸㉢慡戲昹㜸㤱搹攱攲搴戱搰㈹〷㝤㔸改㝥摦慢捥㕤㔴㍥㔸㤳㜱ㄳ㐸㉤㘹扦挲㉥㕥扤㑣挴昹ㅤ昳戴㑤愱㠰慤㡣ㄲ㙢っ㈲ㄶ㠳扢ㄵ捣摥挴㤷㑡挶㉤昸捡慥搴愶㜱㕢㥣て戰㔲慦㠰ち㌴㌴改㑢〵ㄵ㌳慡〰㙤㜷㔷敥昶晣搹㈹捦㥢攵㝥㕡愳㑡挱㡣㤴㈱攱㔷㘷っ㌷ㄵ慣ㄴ㈲㤵㙡〰㐲㜵㌸㡤挰㑤ㅦ〰改ㅥ㉥㤷捤ㅡ挷㐰摦㠲慡ㄴ㠰愰扥ㄵ㤹つ愳摥摣㈲慦晢〸㘴攵攵㕣戸愵㝦㘰㐷摦㐲㌹㔸㄰㍦㠵〲〸㌴ㅥ㝥㙡敤敢摦晦攱昱㤱㘷㠷ㄶ敦㔸ㄷ㍣㌱㈳㝥ㄲ㌷戴㠰㈷㈲㈰㠵晤㙥㐵㐶扣㠴㙥慦攲㠳㝣㘳㌲㜶愰㙣散㈴搹〵〲昷愰ㄴづ敦㜰㝢㔴ㄴ㐴㔱昴㄰挶㙥㤲㍢㐰〴ㄱ㤰挲㠰㐳挸搴㤲㜸ㄱ晣㘹㜶㘵㍡挲慥㔶搳㡤愲㌶㙢慣搰㈶㠸慢㘸㍥㠳敡㌲愸㈰㠳捡ㄱ摦〱攳戶ち㜸㌶㙥㘸㠱㘰〴㔵㑡〱ㄳㅣ晦㌴扡扤㡡て昲㡤挹㌸㠴戲㜱㤸攴〸㐸㥤〲㡥㐶㐵㐱㘰愶ㄴ㤰㘷愷㐹㄰㐱昰愵ㄴ㜰っ㤹㕡ㄲ㑦㠲晦㤲〲㠸攴㕡ㄵ昰ㅥ搴㘶㡤ㄵ摡〴㈱㕤㍢〵㝣ㄹ捣摢㉡攰昱戸愱ㄹ晤㘹㈶㌸㥤挷慤慤㜴㘵ㅦ㜷攴〹扡㤹㌵㌶㥥㑥愳搵㈰昴㤴㑦散戶挷扣㐳㕥㌸收〴㜳㘵㙢㜱㥤ㅤ㘷敥㥥㤱㉥㄰㡢て攰搲㔴攷捤捤挹㤲㘱攷扤慡㕦㤴攳㘳㙦〷㐴〳㜵挰㜴ち捣㈴〵搲㠵㕤搲挰摢〲扢〴㈹愱昱㙡㙤昶戵敡〱㔷㠷㡢㔴㤶㈸戸㘷㔹愳㤳㑥㔸㤶㥤戶挲㈴㉡㥦戱愱挵攲慣㉣㜵搸㤳㌳昰㐱㘳摤昶㝥摦㈹㤵ㅤ㔷搲ㄸ敢愳慥ㄳ㜲ㅡ㤰敦㠸ㄷ攰㜹攰戹摤昶愴㙦戹挱ㅣ㙦慦攲攲摡㠶㤲扡收㌴㝢挴㜱〳㑣愳慣挸㝣㡦㥤㥦昱㑥㈰㤰㔲慤戸晢慤戹攰㙤㘱ㄵ扡㡢㈸㈹搳㠸愴㐸㈶㐵㈶㤹戹㔰晢攸㔳攰戶㍥㝥㄰㥢搸愸愱敦㑣㔵愹㌱㌵ぢ㕤㑡㥡㐴ㄹ㌱愱ㄱㄹ㌵㕦㔴㜵㌶㙣㐲㤹㕣㙣㐳㍣愲㉤攰㔹ち㑦㈹㔴㔷攴㤸ㄲ挸扢昷ㅦㅢ㕦㝥㝦扤愵挸㤲㐶㉣户㙡戸慢晣㜵戴㠷〸㠱戹愵㜰㌴戱ㄵ㔸㙡摥㤷㔹㕢昵攱ㄶ㕤戳㥣摤〷挴搴㘵㑦㔸㔳戲っ愰㔷戱挲㌵㔱㠱㠸ㅢ㙦摢㈰㙥㐳㜸愱㘲㜱捦㌱㝥㤲㉦攲㈱㥤戱㠷慢愱㠷戸㠴㘱㠳愸㡤ㄹ㔷㔹ぢ愸戲ㄶ㈲㐸㘶ㅦ攵〳㔰攵挹换㥢戶㝣㈷㥣愹㌸挵っぢ㝣愴扤㉤㌶㉢ㅣ㐸ㅡ㥡慦愵㥡㌳㘹挶㜸ㄱ搲㠲戹晢昰㉣愲敡㘸㝥㙣改愴搰昱㑦㕣攰晢〰慥㐷摤㈸㠶つ㙥ㅡ昱㌷㝤㤱㑡㘷㙡㌱搳㌳㈷㔱愳扣㤳㈰扣㘷戳㌱ㅤ㘷㔸㐸ㄳ㘱慦〸ㅥ戹㘷戳ㄳ㥥㔵摡㘷ㄵㄱぢ敤㠸㈳愱ㄹ㐶㡥攰㙢晣ㅣ攱晣㈸㕥㠸㜸㜹捥㍢㈵改㘷㔸㤱㐷散㌵捤㠷㠰ㅥ搹㄰挰㈶㤵搰戴捥㑣扢戹挶㙢扣㌶挶㈰愹㍥戶㍢摥挲晦㡤扢㜶㈸愰㤱捤愶戰㌶㘳㠶挴〱ㄱ㌷㠲㔰㥥愶づ昷戰挳㉣㠸㐶㐸摡㙣㥢㐶㘴つ晣㑤㜴㤶㔶㌱㐴㘲晥っ昰戱㝡㉣㘸㑡㤰捥㍡㤰慦㐷昸㍥㔳ぢ㑣敡㜹散㜲㔹捡㐶づ㤶㡦〹㥡㈳㤹㑣挳搴㝡㜳㠰愴㘵㕡㌰慢攴愵㐲晦㠲㠸㔷㉦㠳㑣昰戰㠰㝦攱愲挴改㥡愱㜳㌶㙢㈸㈷㤸ㄵ挴搰㌵捤昱攱㤵捤搲散㠶㐷㌲〷㈲㠸ㅡ㑤㝣敡慥㍢㐱愸挸㉢㉦愱摦ぢ昲㡥攵㠰摣㌹扤慣㈰挰愴愷㌵㝣㄰㐱愴㐹〷戶戴愱昹㠴㍤昷㠶㈶㈲㔵ㅢ扡ㅡ㘷㔸㄰㠴愵㌵㔱㤰㠵㈸㙡㤷捣㈳㙢㥣〰ㄱ㠴慣㙤㍡㉣戰挳㈲㍢㜰㜳㜱愷攸昷㠱㑣搶㉣㜰㔱㘳㠶㙤㉣昱㐱㑣㤶挸㡡㔱搰摡敡敡㉣㜱㍦慡㡤〷㐰〴攱慢㠹㑦扤㈵㠸㔹㈳㑢㥣㐴㙥㕤ㄴ㕦㍣户ㄵ㠸㜲㤵ㄵ㑥㈱㈳〸㜷ㅢ慣昰㈱㔴㥣摢ち㠴挵捡ちて挶ㄹ㘵〵㘲攳㥡ㄸ挸搶慣昰㘱㘴㡤㡦㠰〸攲收㌶ㅤㅥ㘲㠷㡦戲〳愱戴戲挲挳挸昴搶慣戰慡㔸㘸ㅢ敤㝥っ㑣愰㕤攲敤摡慣㜵摡晤㌸慡㡤㑦㠰㠸㈲〹㑢㥦㡣㌳㈹㝣㙢㌶㐸戳摦㘸昱改㘹㜴捡摡昴敥昹㜰戱㡣ㅢ㤵㔹晡㤱㈸㐷㡦ㄸ㌵挳扢㜹㍥㝥换㑡㌷㠷㜵㤶挶㕥ぢ㔶㥤敢㥢㐲㘶㙡ㄸ㕢㑡昸㘸㍥㘰晥㔹挷㔳㠲攵昷㌳挷㌰改㡦㠰慣㍦攸ㄴ㝤㉦昰散搰捣〳㉥㥡っ㐱㐲扣晥㘱㙤づㅣ摢捥㐹挱搲㉥㝦㌱㤹攷㤳㍣㍢敢㝡㈷㕣戵ㅡ㉤㘰㈴㔶改慢愳㠳搳昰挷〷㤵慥㠷ㄶ㜳搳挸㜲戰昱㈹㤰敥㔴㡥㥥㥡㈹攷㐴摦㠹ㅣ㕤㌳㔳㡥敥㤹㐹愳㐳㕡慤慦㈴㙦㌱㈵㡡愲㈴㘴扡愳㐳㙣㙡㡡昷戵昸搸愵㠰㠹慥搳挵㙡㉥㐴㕥摤愰㐶㡤㜲戰㤲晡㌴㌲挶㘷㐰戲㌹晡㑡㉥㐸晦㉣挸㥡搱㤱㐲ㅤ㔴搴㍦㠷扡㉥搴愹㍢〴扦㘸〵晡攷㔱㜳〹㙡ㅡ㝦愱搲扦㠰敡戵愸㐶ㄴ愰ㄶㄷ攰ㄶ捡搱〹㉢㔵慡㘷㤹㝡㝥㍥㡡慡攸㌱慣㥣㈸㑢㡦㠱㜰㕤摣戴㠲㑥㤴ㅢ㔷㑣㐱㑡㙥ㄷ攴ㄳ〶昷〰捤㉤㍥㠰ㅡ㥡扣搱㘴㜴愵㙡㥥慦㈰〳㤳搱㙤㌲攵攸㍡㤹㜲昴㤳㑣㌹晡㑡㈶㐱捦㐵戳㠹昷㠳ㅤ㔵㑡㈸㘲㝣㡤攴〹㤰㙣㡥捥㑢㌱愵㙡っ敡挲愰昸〶㠵捤搱愹愹挶戵慣㕡㐷昲㑤㤲慤㈰攲ㄴ〹㑢㑦挵ㄹ㈵ㄹㅤ㤳㤲散㈸㈶㙢㤵散〸㙡㕢㈵㝢㄰㠳搴㍣摦㐶〶㤲㝤ㄸ㕦㑣㌹扡㈳愶摣㐳搱㜷㈲㐷晦挳㈴攸㌵㤴㘴㠷㘲挹㌸扤昱㌴挹㌳㈰搹ㅣㅤ挷㔹㈵愳㐳㔱㡤㔷㜰〰挳〶挶昷㐸㈸㔹㡥晥㐵㌵㍥㡦㑣㜷㑡攳ㄱ戹慤㘹晦戶㝦㜷㙣㙥づ昵敦㐵攸㝥㤱㍡㑦〱㜰㐵㌰㈵㥤摣㜵㘱扣㜸㐲㍡挰㡡ㅦ㙤〴㔲扦〵㍥㌴摣戲ㄷ㈲㐷扡〸攳〵㤰㥥搳㈰ㅡ㍥㍡㍥㜵改捣㔰㕣搸ㄳ㝤㘷攲敦摣㥥ㅥ㥥㌲㌵攲㝤攲㥤㥦ㅥ搶㝥㜷昲昱㝦㍣㜹摢愶挷扥昵㘶晣㝤昲㑢㕦㘴晡㐶捣攱ㄷ㐳㠲〷愴〷㥦收搸搱㙥㠸㜵〶㥦㤶攰搹敤㜱㐳㜳昰㉣挷㜳愵㡣昵㈳㘴扡㔳㠲㠷㠳〶ㄳ扢㌰㠲㕡㔲㠲晤ㄸ㌵㍤摣昶ㄴ㙡搵㠲愱㉦搲晡㍤㍤㑦攰㑢㡤㍣㥢㠰㕢㔵㝡㍡ㄶ昰挵愱㐸攰㤷㠶〴捦㑢㍢㐱〷㘳㜹㕡〴摤ㄶ㌷㌴〷挹㜲㍣㘶㑡搰㥦㈱〳㐱㜹㔶㤴愰㕢敡〵晤㌹攷攳㈹㌸㍦ぢ昲挸慣㘸挱〳㉦摣㝦昵㡥改㘷㠶晥昵挰㍤捦㠵愷ㄷ㠶〴㡦㑢㍢挱㙥㌹㥢㘰扤㜱㐳㑢昰㡢愷散㕣挱慦扡㕦〹㌹愹㘶搳昳㜶摡㔱㌵て〶慥㙦愷㕣㔶㌷㕦ㄷ㥥慡㍥㝥愷㥢㐰㐸〶て㔴晣㡥ㅦ㍢㜲㠴㙡㠸晣㙢㡦㈱㐳㤵㌸㔸户て晢㜸ㅤ㜵搸攳〱㐲㘹愵っ㝥㘷〸㐳晣昶晦㜶㜸挷〲㡢愴改㐰昸㑡挳㥢㈵搹ㄶ〶㜰㡦慦㄰㘲㔸搶㐷敤攷户㈴㕦戸ㄷㄶ㔵搳㝦㠹挹㤶㠲㌶愵扡愰㑤㕡摣っㅢ㐷敥晤㔴攲㑤慥ㄹ㙦慣㠴昱㌲扥㔴㝣㔸摤ㄷ㈰㔹攳ㄵ㔶㙤慡㤱㠴昶〲戲捤㤲ㄱ㤵敤愳攸㑤扦愰㜵㜶㔲摣㕡ㄲ㍣昷摣㐲晡㙦㐰敡㕦㍡㡤㑢摢搸㜶㘹扦挵㤸愶愵扤捡慡攵愵〹扡づ㉥慦㤶〴捦㥦㥡昰昷挸搴〰㝤攳㘴搷戴㥤散㡦攸摦㌴搹㥦㔸㔵㌷ㄹ㡦㙦晤㘴ㅡ㜵户㙡换搲慢慦挳ㄹ㠸晦昸㡡愱㤸捤㘵晥改㔵扢㤷㝤㘳攴敢捦ㄸ㉡㘸ㄵ昲㌰晥ㄲ㘷㔸㄰搴㤱㌲攱㙢㉣㔱㍤慡捦㕦攳㡣敡㐳搱㔴㥦搷㔹㑢愹㔴㥦㌷敡晢愸㈹㔰㘱晣つ愴㤶㜲㥣㑡戹戵扦㈳〳户愶㈶㐱戶戱ㄷ㈷㔳扤捥㐴扤搴㌴㉤扤㌸㥤敡昵㑦搵㉢㔷㥢㐸㤰户昲㤵摤㌰っ㉦㠵ㄱ㔴㘴㐴㐲㤰㥤㙡攸㙡㙡㈰〷搵搰搹搸搰昹㍦㕣昷慥㌶</t>
  </si>
  <si>
    <t>㜸〱捤㔹㕤㙣ㅣ搵ㄵ摥㤹摤㔹敦慣搷昶收㠷〰㠱挲搲㈶㠴攲㜴ㅢ㈷㠴〴㘸㑡散㜵散ㄸ㥣搸挹㍡〹㤴愲㘵扣㝢㈷ㅥ㌲㍦㘶㘶搶昱愲愸愹搴搷㍥昱㔲搱㐲㐱戴㉦昰挲㕢㝦㄰㉦慤㤰㡡㔰晡㠶㐴晢㔶㈱愴㔶㉤㐲㔴㝤㐱㉤ㄵ晤扥㍢戳敢摤昵㝡ㄳ㑣㉡昹慥昶捣晤㥢㌳昷㥥扦㝢捥戹〹㈵㤱㐸㝣㠱挲㈷㑢㡡㤵㍢换㡤㈰ㄴ㑥戱攴搹戶愸㠶㤶攷〶挵㜱摦㌷ㅡ戳㔶㄰㈶㌱㈱㕤戱㌰ㅥ㘸㤵挰㝡㕥㘴㉡㉢挲て㌰㐹㑢㈴㌲ㄹ㕤挵㌸㤱昰㥦㙦㌶㜴扥㤵㑢〱㉣㤴㈶收ㄶ㥦〵搶㜲攸昹㘲㝦攱㝣昴敥戱戱戱攲㔸昱㠱㈳㘳てㄶて散㉦㤴敡㜶㔸昷挵㌱㔷搴㐳摦戰昷ㄷ收敢㡢戶㔵㝤㕣㌴ㄶ扣㑢挲㍤㈶ㄶてㅣ㕡㌴ㅥ㌸㍡昶挰攱挳收㐳てㅤ捤攱搳㠹搳愵㠹㜹㕦㤸挱捤挲㤹㈶捥戹搲㐴昱戴〸㙦ㄶ捥〱攰〴捡㐹捦㌱㉣昷㈶㈱搵㐸摢㐳㤳愲㙡㤱〹㐲昸㤶㝢戱㠸㘵㜷㄰ㅡ慤㈳挵㈹㔰扣㙡〴㘱㐹搸昶㔹㘱㜲㌱㌹㠷㌴ㄳ扥㜰慢㈲ㄸ㜶㑥慣㔶㠵ㅤて〷ㄹ攷扣攱㥦㌶ㅣ㤱㘲㘵挴㠹昸㌶㔳ㄳ㙥㘸㠵㡤㈱攷㕣㈰捥ㅡ敥㐵挱㈹㥡㌳㕤户㙡愹㤴㤲㑡㈵㤲晢㝡㉤㐶昲愶㌸攵㔷㑢㑢㠶ㅦ捡ㄶ戹㌶搶㙢㙥㥢㠴挸㠵㜷㉣㡢㔲㔴攸㝡㡢㙣㉡㕢捥攳挲㜷㠵捤㡦㤰㜹愳㕤㤳㈴㑤㈲搲户㠸搳摣つ㘹愱っ挶㜲㉦户㠲づ㍤㐳愰〳愴戳〰扢㑥〴愱攵ㄸ愱愸ㄵ㔶っ扢㉥ち摦づ戰ㄵ愱て㜲㔶づ㐰㐹晤ぢ慡搴㡥㠵㐳㙡挵㔰㉢㡢㙡愵慡㔶㙡㙡㐵愸ㄵ㔳慤㕣㔴㉢㑢㙡挵㔲㉢捦慡㤵㑢㤸搳㉣㤹㠱〱㌵㉥摦搵昷㝦昰㠳㜷㜷㥤晥敤慤㝢㍥晦昴敡摦㝥㤴ㅢ挶愴㌳昱ち㈷㝤攳㌲搸扣㈶㐱〷㡢〷昸扢扥敡㐰㜳捣挳收ㄱ㜳㙣慣㜶昸㠰㜱挸搰戸挷ㅢ㘵搸㑥捣捤㤹ㄷ㉣户收㕤㤶ㅣ捣㤹㔳㤶ㅤち㕦㌶㐶㑣㍣㈲㈹㤴敤㈱昳挴㉡搴户ㅡ㌱㝢愷㔹ㄲ㝥〸戱てㅢ㙢ㄲ㜰攷㠴ㄱ㠸戵收㘸㡣㝢挲慢扢戵攰㡥摥㠳攵㄰㉣搸摤㍤戶㠶㘴摤㙢㘵愸㠴〸攴㤲敥敡㝥敤㍣ㄹ㌹扥㙡㐵挳㕦敢ㅡ㠶㜲㜸㡢ㅢ㡦㑥昹攲戹搶攸扡ㄵ㡤挳㜲慥㐸摣敢㜶ㄹつ㐵敢㉡㤴㤶扣㐰戸㜲㜹愳捥扣㔵扤㈴晣戲愰摤ㄵ㌵戹搵㕢㌸ㄴ㙢攸攸㥣㡢㡤㐲攷㙡㕦㙦敦㈵愱㠵㕢ㄳ㌵慣㜷ㄹ㔴㙥㉣ㄸ㡢戶搸搵㌱㈵晡㈶〶㙥敦攸㥥昲慡昵愰攴戹愱敦搹㥤㈳攳戵ㄵ〳㔶愱㜶捡慢㠹㤴㉣㠹〸㉡㠹㘴㔲㔱ㄲ昷昵㔲㉦攲づ愸㠰㙤㐲㐲㌵敦㍦戹㑤㠸㌸戹愷攲戶㌰愳搲㈶㘴㥣晦捤扥㉢㘹ㄷ㐲捥㍥搰㜷㜶て㈱攵㑢户㜵㉡㕥昱㉣昸〳㍥搸㠲㕡愹敥搹ㄸ攵㥡㕣㕥㘷愵㙤㕣攱㌱换搹㝤㠸㈶搱戶㘴敦晦㍢㔹㔵㜷挴扢㍦戱〲摢㝦搲㜰㙢戶昰晢㍡〹ち㔷愴㡦㄰攴〹戶ㄱ㙣㈷搸〱愰㝤っ㌳戹㈱㐵㘹摦㤵㔵愵愱㕤戶㙡攱㔲㝡㐹㔸ㄷ㤷㐲昴挱戹挸㘴㐸敥扦挷晦㜷攰㕤㝣㐴㌷㐳扦㠵㘰ㄷ挱慤〰搹㙣㈲㝤ㅢ㥥戰摡晡敤㝣散〶ㄸ㘹ㅥ㝥㠵㐸㌲戳〹㡤㠶晤换ㅦ㍦㜴㘹㜴㜹摡挱ㅤ〹㌴〷㜸㠳㘴戲ㄷ㌵㑥ㅡ挱㔲㐸㐵散㍢挸敤敡㜷㄰摣〹㤰晢ㅡ挰改㤳挲㠶ㅡ摦㉣㑦㐶攳㈹㜴摤ㄳ㤳摣搹攵㤴ㅢ㙥㜵挹昷㕣昸㜵㤳㐶㘸㡣㔷攱ㄶ〴㡡㤱㜶㘶扤㔲㍤㑣㍢㈷㉤㍣㜲捥㔹戱㉣㡣戰〴㌳ㅤづ㌹戳㜰㈹愴ㅤ㥤愹慤㙡㑥攴つ㑣㡡愰慡搳㙤㤸㠱㔹㕡㑤愳〶㍢㥢㜳㘸㘸挴㙡㐸搴〳捥㍣づ㑦㌷搴㌱㘹㔴扥ㄵ搵昸收㤰散㙢扥㥤㡤㕢挰㤰㤷搵㌶㉣㠳戲㈳挲㤴㈰㈹ㄳ戰㑣㠹㘴㉡㠶摤ㅡ㜴㉥戴散愰ㄸ㤳户㌸改挱慤ㄴ搲戳㈵搹搳㘹〸㔸扡㉦戳扡ㄵ㥤㝥挷㕣㜵㌱㐲㡢愵㑣晢㕥㝤㤹扥挷捤挲㐳㕣〹晤㉥㠰㔷晥昹挶㈳㝢㕦㝥昳㡢昸㜹ㄵ㉡㈴㡢㑥搷㐴愷扣戳㠹㠷㉣晡㍤㜸㘴晢㡤㘹昴㔸㝡㕡摡つ㕣㈴慡㜴捥挱㙥ㄷ㝣㈱㝤扥㡣㙣㌴㤶挵㤰㜳挱昳㉦㉤㝡摥㈵㌲㝦㔸戶㠲㈵㈱㐲㍡㔲㠳戱摦挸扡愲㈸挹㘴㠷㝦搴收㜱搱〵㑢敦〵ㄸㅡ户敤㐲ㄳ㘳㤰扥ㄷ㕤㐹扡㜴晢㔰戹愳攴㉤㌷ち㥥㔹ㄸ㜷㡣攷㍤户㉣㤶挳㠳〷挶㡥ㄶ㔷敤㘰㔵昹ㄳ〸㐰て㑣昹攴ㄷ晦晥捦捦づ㤵㝥㍤㜱攵扤昰挷㙥㐱昹㈰ㅥ攸昶愹㌴㕡愸㙥ㄹ㤱㙥㘲敢戴㘹㍢挷㘸㝢搲收㌹搷ち㠳㐱㜳扣ㅥ㝡㔳㔶㌸ㄹ㠴㌹ㄳ〰㔵昹捡㙥㘹㤸摢㕥ㅡ㌵捦㕢攲昲〲愸㜴昷晡㈱㜸搰愵㝡㄰㝡㔲晣敦㕡㍦㍥改㥤昶挲㐹㉢㔸戶㡤挶㥥ㅥ挳搱挸㠵㈵攱挲㔳昰攱㌰㕣㙦㤲户扣㉣㙡㍤搶㔸昶敡㝥㔵捣㑣㙥〵㕦㐳㠹昴㌸〱㔱㠱ㄶ㉢㝢㌷㍥㕢摢攸㑥攱㔴㈱㕥捡㈶㡦㉡㜹㕥攸愳挰㠲挰㔵挱ㄱ愲敦㐷ㄵ㈷㠹挶昳慢扦㠸戴㜹㉦戴戴㔹ㄳ㙣㡤晡㠶㘲昷㜸挶つ慣㥡挸挶慤㔳㤶㍢ㅣ㔷攷敡㘱挷㠸戱扡㈳ㅥ㠱づ捣戹㘰㝤搵昰㙢㕢㠱㉢搸ㄸ㑡挴ㄲ㈵㡤摦收〸ㅤ愱㐹㈴㍥㙤㘶ㅣ㍥扤ち㌳昵㉤㜴㤳搶㜴ㄳ㝡㥡愴㤶㍡愲搲收晣㔱㝤㠷㐸敥㔶㜷㠶慤㔳挲㜰㈵ㄷ捡㘱㙤㔲慣っ换ㄹ〲〲㡥挰搵ㄶ㍢㍡㥢昲㘴搲捤昱挵挰戳敢愱ㄸ㙥搵愴愲敢收㔹㘱ㅢ㜴攴㜳慤摡㝣㌵㐴愸搳挲㐷㈷㝤敢㜰〸ㄴ㐹挵㕣㔲㈴㥦搲㝤㠴户㜳ㄳ搴愱㑤㜲ㄵ㘷慥㈹换㈷㡦㉡㍦㝤㤱攵昵㐷ㄳ捤㑡㤶㈵愱搱挱戸㜱㑦㥤㥡戴愳ㄹ㐰㐶ㄶ㑥ㅡ慦㕣戳㡦㑥昲㤰㈹敤ㅥ㈲㘱收㉣㐶愸㍡㌶ㄲ㑡愱㔵㌵㙣扢㌱㙣捥戸㔵扢㕥ㄳ戳挶愲戰㥢㌶摢昳ㄱ挲㙦〹㝥挹㕣㕢挴慢㍥㜴㠹挳㤷ㄹ㈴摣㥡㜱挱愶捤㕣㐲㉦㠲慣搲㔹〰㡥慣㝥〰㉤戲㠶㑥昹㤷づ㡢攸㜷㙣㕦ぢ敡㘵㉡〸愶㙤㕤ㄷ㙤ㅡ㕤挴㔶㘴㈵㌵慥㙤摡慣㌷敢㈱敡慤戵㜵㥤戴愲慥㉤挱㈷散㌳㌲㝣改㜴㝡戳〷っ㜱搰敡挵捦慢昱昳㔱搲㥦ㅣ㘰〴搳敤㕣戶㌹㈲昲散㤷㐶㤰挷搱〸㉤㔸攴㌸㉣㔸愱㉤〶㑤㌹㉥敢ㄹ慡〴愹㌹㘰㉥㉣挱㔱㥢ㅣ㌲愷㝤慢㘶㕢慥愰ㄳ㠲㉣っ搳㙦戳攲㈲昲〵昳㕥㘰㌱扢㍢㘴㉥昸㠶ㅢ㉣搳ㅦ慦㌶戶㜷戴㈴戳㌴㜳挲㜲愱㐰搱㌷㔹ㅦ㌱换㑢摥㘵㈴㠸敢㡥㍢㙤㉣〷㕢㠲㔱㡣〵愳ㄲ㘹㤵慡愸慡㤲㔱㌳㥢㍤慢愴晢㑣㠷㈰㜱㄰㘸㔵㠲㤸㕤㡣㌵晢攸㉣㌹ㄵ㘷㙣愸戳㕣㔷㐷愲戵㘷戸搸捡戰搳づ敢晣㔸敥㄰挰㘳搳攷㘶搶昲㝣㕦㈹㑤慥㌱㍡敥㜳ㅣ㐸搱㘸㈵ㄵ㈸㤲挳㤱戸戰㡦搲愳㑢慥戳搵㉤㠲㔹㔳捥愱㌴攲〴攵㜴㔶愷㄰敥攵愰晣㌰扦〸㤳㘱㜷㠷愳〶㕤㍡挷戰㠳㜸慣攴㌹㡥㐱昱愲㘸㤶㘱扢㐵㐶晡搷戰㈶扡〹㈰㘵㌰敥㌲㔶搱㘵慣捡㉥ㅣ挹㑣ㄴ捡㍡㜱㜹ㄷつ摦ち㤷ㅣ慢㥡㘱㠳挹扣㉤㈱㤷㄰㈱ㄹ㥡㠲愰㉣㔲㌸攱慣㜶㠷攴㔱ㄴ〹㜶ㄷㄱ㍦㤰㜴㘴㍦愴㔷㤵攷戸戲挹㉣っ挴㔷ㅡ㝣晤㌰戰㘹昲㐲㠶挱㌱㑢㥢ㄳ㠶ㅥ㘹㠸ㄴ㈶㑣㌸慣㍦ㄸ㔷搸㐸㌱㍦搱㌷㌰㘶昰㤶㥤昵㡣摡ㄴ昲扤㥥㍦㄰㕦敢㘴挰㕡㥡ㄵ㍦捦㘴㐸〹㤹㐴㘴㈸㔷攰ぢ晢ㄹ㜶㤴㤱㘶㐸㌱㡤㤲㡥㜸㐸摡㈴㌴㙤㌰搳敢㕢㌳㑤㕣㝢攲愰戱晤㝡㙡㘶ㅤ晥㡦捦ㅣ㠵㜵攵戶㜸㍦愲ㅦ㈱㌸ち愰㌰捤挲晤㜴㑤㜸㠸ㄳㅥ〶搰ㄸ㙤㜷㙢挹㠶㠹〳㈲搷ㅣ㈶㌴㌲づ户〳㤷㈳㡤㌴〷ㄲ㈳㈰㐹㝡㌰挳挴㠲晥〸挰ㅦ慦㕤㍢㠶㐷㐲戹〷愰昹㝤慡㝡㌶㑢攲改摦㈱攰っ㡤㔱挸㡤㐵㍤㝣㌱摦ㄶ㡡㔲㐷㠳㙤收㤹扡㘱攳㠶㘶づ晥㔰挸慥慤愰〴愹挸㉢敤扥㘹攸扣戸㐱㐰㈷户昰搴搳捣㝢㜴搳愰㜳㙥扣户㠰㌳㌷攷戵㘶戵摦㈳㉦㜰㘳㕦愱ㄶっ慣㌰㠹㔵愹㈰戹㠳ㄶㄹ㥦搵㈹㘲㌸扦ㄵ㐶㡢㔲㙤㡥愳搲㉣ち攳㥡㜵扤ㅡ㝤戰㍥㠷㐷㤷挳挷昷㜷慣㠹㍡㡤摡愸捤㝢搸㕥㍡搲㜹㠶㡣昳昳昴昱搶慤㐱攱昱㈲㝢㑢㜱㐵捡㌱㑤挴㜵慤ㄲ㑤ㄹ㐲㔹搸愷㜲搸戰㜱㈶戰捡挴㑦㔴愳ㄲ㐴挳㔸戴攷挳挹㑤㜵愷㝡㕢敦㌲愳㌲戸戳㉢戵㉥㕦攳〸捤㥦昶㌶㔸戴攱晢摣挱ㅡ㔷昸づ㑢晡〴挰捥㔳㔶搵昷〲捦っぢ㘵昸㌶〵㕥戶㤸昰㜲挷戵户㠰戱攷㌷戹戱㤴换换㑣挹攸散㈵搷扢散捡搵㘸〱敦㥣㈴扤〶〶昸ㄹ晡扥戲㝣〳㔴捣搳㔴昲㘵㝤ㅡ㘰㈸㤹愷慤㘱挹搳摥戰攴㘹㕣㔸昲㌴㌰㉣㈳㌴〹挴㐲㔱扡愹㈵㑦㐳㐲㙥愶㑦〲っ㤷㈶㉡㙤摥㐸㝡〶㝤㌹昴㐹㝢㝢ㄶ㜷㌵改挷搰戳つ㍤㥤户扢㜹㕡㈲㘲㔹扢〳搵㑦愱愹㔰攰㈵㈱㑥挷ㄳ㌸㈹㝦ㅣ㠰㐵ㄹ㈷挰㕦㍦づ挰挲㐶扥〴㈰〹㌴㡦捡㔰㔲㈳㥤ㅥ搹㌸慦搳戶攰㔱㘸㐳挷捤搶〹摣㔴㌵㜸㡡㈵㜱㙥㘸㜲ㅢ㈹昵攱捤攱愲慤愱〵㤶晦㌷㈱ㄶ㕦〱て昷戹㈶㡡挴㜸㌷晥晡㔹〰㠵㠴㘳戶㔵摦㑢㜰㉦挱㍥〰攵つ㝣戲㘷扥昲昵㜸愰㍢㕦㤹㈷搱㈵㈱㥦㈰㤲㈷〹扥〷㤰搵㐸搸晢㌷愶㐲攴㔹慤摤㠳㌲㜱愲㤹㔴摡㐱㌳扡㠶㈴㉤㘴㠲捡㤶ㄲ㥦㠳㤳攵攳㈶㜲ㄶ㜱〳㕣㉢摣慤挷昲㠱㜸㠲㠷㕤昳ㄸ搷㘵㡢㉦愷捤㌹ㅦ攷晡㠰㌹ㄳ㈰㍡愹㘵㤰摥て㜱㌳散㙥㠵挳〷㌶㈸㐵㤹㠱搴㌰愷愸昶㔴㝦敡㜵昷戱摦ㄶ㠲慤搱愳ㄹ㠶慢昴捤㌶㜷昴愴㥦挲挷搶慥愴愴扤〹㔴攵㤷攰㍢捤㔳昶ㅦ〷㙦晦㠲换㠵晦㤷搰㥦挶㐳㑡㡤㈲昷㠰散愴㕥㘱ㄷ㜳㤶ㄲ㈴㌴㡡㔹昷愶㘸㠸愷昸㐶搷㐵摡攰㈰㜷扡昰攲㕢挷晦㝢攸改㜱㠵㤲㐴㝤㔴㕥挱㠷愹〴戴ㅦㄹ㌵慤㔰扡攴挰捦攳〱㥡㠴っ晣㔶㑡㥣ㅣ㜸㌹ㅥ愰㑤搰㙢〰ㅡ㤷㝡挳㌴愴捡㙣昲㘴ㄳ㜸㔵㈱ㄱ愴慤㠱㕤㤷ㄵ㌶㐶戸㡥ぢ昸慢慢㑡昵㤹摡㌳捦㝣㌶㤲㉡散㑥㍤㜱㍣昷攲㕦摥晢昰㠵昷扦㝦散慦㥦扦昴搲晢ㅦ扤㜰敤昳户ㄷ㡦晤攱戵搷摥㜹散㤵㙢ㅦ㙥㌷㕦㔵㝦昵搹散慢㔷挶㉥㕤㜹捥㍣㜷晦昴㤵㈷㥦㍤㌳㌶扦㙤㌴㤹ㅣㄸ搸户攳摤摢敥换晦昰戹摦㈸扦晢昳慤慥㈲扦㡤て戴㑣ㅣ敡昰挲〰愴㘶㉥愱㌲㤴㔴昸㤰㐴晡㐹㑣愴〹㜴㘴㤴挴攰晦〰〶㤵㜳晥</t>
  </si>
  <si>
    <t>Amazon will complete its metaphorsis from being a retail company to one that can take its competitive advantages - access to capital &amp; willingness to lose money for long periods, while disrupting and changing the status quo - to any business that it targets, giving it the potential for high revenue growth on top of already-large revenues. It will be able to use the pricing power it accumulates in each business it is in, to increase profit margins, partly through economies of scale and partly through higher prices. Its low debt ratio and divergent business mix give it a low cost of capital.</t>
  </si>
  <si>
    <t>The Greatest (and most Feared) Disruptive Platform in History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</si>
</sst>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6" formatCode="&quot;$&quot;#,##0_);[Red]\(&quot;$&quot;#,##0\)"/>
    <numFmt numFmtId="8" formatCode="&quot;$&quot;#,##0.00_);[Red]\(&quot;$&quot;#,##0.00\)"/>
    <numFmt numFmtId="44" formatCode="_(&quot;$&quot;* #,##0.00_);_(&quot;$&quot;* \(#,##0.00\);_(&quot;$&quot;* &quot;-&quot;??_);_(@_)"/>
    <numFmt numFmtId="43" formatCode="_(* #,##0.00_);_(* \(#,##0.00\);_(* &quot;-&quot;??_);_(@_)"/>
    <numFmt numFmtId="164" formatCode="&quot;$&quot;#,##0.00"/>
    <numFmt numFmtId="165" formatCode="#,##0.0000"/>
    <numFmt numFmtId="166" formatCode="0.000%"/>
    <numFmt numFmtId="167" formatCode="0.0000%"/>
    <numFmt numFmtId="168" formatCode="_(&quot;$&quot;* #,##0_);_(&quot;$&quot;* \(#,##0\);_(&quot;$&quot;* &quot;-&quot;??_);_(@_)"/>
    <numFmt numFmtId="169" formatCode="0.0000"/>
    <numFmt numFmtId="170" formatCode="_(* #,##0.0_);_(* \(#,##0.0\)_)\ ;_(* 0_)"/>
    <numFmt numFmtId="171" formatCode="_([$$-409]* #,##0.00_);_([$$-409]* \(#,##0.00\);_([$$-409]* &quot;-&quot;??_);_(@_)"/>
    <numFmt numFmtId="172" formatCode="_([$$-409]* #,##0_);_([$$-409]* \(#,##0\);_([$$-409]* &quot;-&quot;??_);_(@_)"/>
  </numFmts>
  <fonts count="69">
    <font>
      <sz val="9"/>
      <name val="Geneva"/>
      <family val="2"/>
    </font>
    <font>
      <sz val="12"/>
      <color theme="1"/>
      <name val="Calibri"/>
      <family val="2"/>
      <scheme val="minor"/>
    </font>
    <font>
      <i/>
      <sz val="9"/>
      <name val="Geneva"/>
      <family val="2"/>
    </font>
    <font>
      <sz val="9"/>
      <name val="Geneva"/>
      <family val="2"/>
    </font>
    <font>
      <sz val="8"/>
      <name val="Geneva"/>
      <family val="2"/>
    </font>
    <font>
      <sz val="8"/>
      <name val="돋움"/>
      <family val="3"/>
    </font>
    <font>
      <sz val="8"/>
      <name val="Verdana"/>
      <family val="2"/>
    </font>
    <font>
      <sz val="9"/>
      <name val="Helv"/>
    </font>
    <font>
      <sz val="12"/>
      <name val="Arial"/>
      <family val="2"/>
    </font>
    <font>
      <b/>
      <i/>
      <sz val="12"/>
      <name val="Arial"/>
      <family val="2"/>
    </font>
    <font>
      <b/>
      <sz val="14"/>
      <name val="Times"/>
      <family val="1"/>
    </font>
    <font>
      <b/>
      <sz val="14"/>
      <name val="Geneva"/>
      <family val="2"/>
    </font>
    <font>
      <sz val="10"/>
      <name val="Times"/>
      <family val="1"/>
    </font>
    <font>
      <b/>
      <i/>
      <sz val="10"/>
      <name val="Times"/>
      <family val="1"/>
    </font>
    <font>
      <i/>
      <sz val="10"/>
      <name val="Times"/>
      <family val="1"/>
    </font>
    <font>
      <i/>
      <sz val="10"/>
      <name val="Geneva"/>
      <family val="2"/>
    </font>
    <font>
      <b/>
      <sz val="10"/>
      <name val="Times"/>
      <family val="1"/>
    </font>
    <font>
      <sz val="9"/>
      <color indexed="81"/>
      <name val="Geneva"/>
      <family val="2"/>
    </font>
    <font>
      <b/>
      <sz val="9"/>
      <color indexed="81"/>
      <name val="Geneva"/>
      <family val="2"/>
    </font>
    <font>
      <b/>
      <sz val="12"/>
      <name val="Times"/>
      <family val="1"/>
    </font>
    <font>
      <sz val="10"/>
      <name val="Geneva"/>
      <family val="2"/>
    </font>
    <font>
      <i/>
      <sz val="12"/>
      <name val="Times"/>
      <family val="1"/>
    </font>
    <font>
      <sz val="12"/>
      <name val="Times"/>
      <family val="1"/>
    </font>
    <font>
      <b/>
      <i/>
      <u/>
      <sz val="12"/>
      <name val="Times"/>
      <family val="1"/>
    </font>
    <font>
      <b/>
      <sz val="10"/>
      <name val="Helv"/>
    </font>
    <font>
      <sz val="10"/>
      <name val="Helv"/>
    </font>
    <font>
      <b/>
      <i/>
      <sz val="10"/>
      <name val="Helv"/>
    </font>
    <font>
      <i/>
      <sz val="10"/>
      <name val="Helv"/>
    </font>
    <font>
      <b/>
      <i/>
      <sz val="14"/>
      <name val="Times"/>
      <family val="1"/>
    </font>
    <font>
      <b/>
      <i/>
      <sz val="12"/>
      <name val="Times"/>
      <family val="1"/>
    </font>
    <font>
      <i/>
      <sz val="12"/>
      <name val="Geneva"/>
      <family val="2"/>
    </font>
    <font>
      <b/>
      <sz val="10"/>
      <name val="Geneva"/>
      <family val="2"/>
    </font>
    <font>
      <b/>
      <sz val="10"/>
      <name val="Arial"/>
      <family val="2"/>
    </font>
    <font>
      <sz val="10"/>
      <name val="Arial"/>
      <family val="2"/>
    </font>
    <font>
      <sz val="9"/>
      <name val="Times"/>
      <family val="1"/>
    </font>
    <font>
      <b/>
      <sz val="9"/>
      <name val="Times"/>
      <family val="1"/>
    </font>
    <font>
      <b/>
      <sz val="9"/>
      <name val="Helv"/>
    </font>
    <font>
      <i/>
      <sz val="14"/>
      <name val="Times"/>
      <family val="1"/>
    </font>
    <font>
      <sz val="8"/>
      <name val="Arial"/>
      <family val="2"/>
    </font>
    <font>
      <sz val="10"/>
      <color indexed="81"/>
      <name val="Calibri"/>
      <family val="2"/>
    </font>
    <font>
      <b/>
      <sz val="10"/>
      <color indexed="81"/>
      <name val="Calibri"/>
      <family val="2"/>
    </font>
    <font>
      <i/>
      <sz val="9"/>
      <name val="Helv"/>
    </font>
    <font>
      <sz val="12"/>
      <name val="Calibri"/>
      <family val="2"/>
    </font>
    <font>
      <sz val="9"/>
      <name val="Calibri"/>
      <family val="2"/>
    </font>
    <font>
      <i/>
      <sz val="12"/>
      <name val="Calibri"/>
      <family val="2"/>
    </font>
    <font>
      <b/>
      <sz val="12"/>
      <color theme="1"/>
      <name val="Calibri"/>
      <family val="2"/>
      <scheme val="minor"/>
    </font>
    <font>
      <sz val="12"/>
      <color rgb="FFFF0000"/>
      <name val="Calibri"/>
      <family val="2"/>
      <scheme val="minor"/>
    </font>
    <font>
      <i/>
      <sz val="10"/>
      <color rgb="FFFF0000"/>
      <name val="Helv"/>
    </font>
    <font>
      <sz val="12"/>
      <color rgb="FFFF0000"/>
      <name val="Times"/>
      <family val="1"/>
    </font>
    <font>
      <b/>
      <sz val="10"/>
      <color theme="1"/>
      <name val="Helv"/>
    </font>
    <font>
      <sz val="10"/>
      <name val="Calibri"/>
      <family val="2"/>
      <scheme val="minor"/>
    </font>
    <font>
      <i/>
      <sz val="9"/>
      <color rgb="FFFF0000"/>
      <name val="Helv"/>
    </font>
    <font>
      <i/>
      <sz val="12"/>
      <color theme="1"/>
      <name val="Calibri"/>
      <family val="2"/>
      <scheme val="minor"/>
    </font>
    <font>
      <sz val="12"/>
      <name val="Calibri"/>
      <family val="2"/>
      <scheme val="minor"/>
    </font>
    <font>
      <sz val="10"/>
      <color theme="1"/>
      <name val="Calibri"/>
      <family val="2"/>
      <scheme val="minor"/>
    </font>
    <font>
      <sz val="9"/>
      <name val="Calibri"/>
      <family val="2"/>
      <scheme val="minor"/>
    </font>
    <font>
      <sz val="12"/>
      <color theme="1"/>
      <name val="Calibri"/>
      <family val="2"/>
    </font>
    <font>
      <sz val="12"/>
      <color rgb="FFFF0000"/>
      <name val="Calibri"/>
      <family val="2"/>
    </font>
    <font>
      <sz val="12"/>
      <color rgb="FF000000"/>
      <name val="Calibri"/>
      <family val="2"/>
    </font>
    <font>
      <b/>
      <i/>
      <sz val="12"/>
      <color theme="1"/>
      <name val="Calibri"/>
      <family val="2"/>
      <scheme val="minor"/>
    </font>
    <font>
      <i/>
      <sz val="12"/>
      <color rgb="FFFF0000"/>
      <name val="Calibri (Body)"/>
    </font>
    <font>
      <i/>
      <sz val="12"/>
      <color rgb="FFFF0000"/>
      <name val="Geneva"/>
      <family val="2"/>
    </font>
    <font>
      <sz val="12"/>
      <color rgb="FFFF0000"/>
      <name val="Calibri (Body)"/>
    </font>
    <font>
      <sz val="10"/>
      <color rgb="FFFF0000"/>
      <name val="Arial"/>
      <family val="2"/>
    </font>
    <font>
      <b/>
      <sz val="9"/>
      <color rgb="FF000000"/>
      <name val="Geneva"/>
      <family val="2"/>
    </font>
    <font>
      <sz val="9"/>
      <color rgb="FF000000"/>
      <name val="Geneva"/>
      <family val="2"/>
    </font>
    <font>
      <b/>
      <sz val="10"/>
      <color rgb="FF000000"/>
      <name val="Calibri"/>
      <family val="2"/>
    </font>
    <font>
      <sz val="10"/>
      <color rgb="FF000000"/>
      <name val="Calibri"/>
      <family val="2"/>
    </font>
    <font>
      <b/>
      <sz val="9"/>
      <name val="Geneva"/>
      <family val="2"/>
    </font>
  </fonts>
  <fills count="14">
    <fill>
      <patternFill patternType="none"/>
    </fill>
    <fill>
      <patternFill patternType="gray125"/>
    </fill>
    <fill>
      <patternFill patternType="solid">
        <fgColor indexed="42"/>
        <bgColor indexed="64"/>
      </patternFill>
    </fill>
    <fill>
      <patternFill patternType="solid">
        <fgColor indexed="13"/>
        <bgColor indexed="64"/>
      </patternFill>
    </fill>
    <fill>
      <patternFill patternType="solid">
        <fgColor rgb="FFFFFF00"/>
        <bgColor indexed="64"/>
      </patternFill>
    </fill>
    <fill>
      <patternFill patternType="solid">
        <fgColor theme="0"/>
        <bgColor indexed="64"/>
      </patternFill>
    </fill>
    <fill>
      <patternFill patternType="solid">
        <fgColor rgb="FFCCFFCC"/>
        <bgColor indexed="64"/>
      </patternFill>
    </fill>
    <fill>
      <patternFill patternType="solid">
        <fgColor rgb="FFFF0000"/>
        <bgColor indexed="64"/>
      </patternFill>
    </fill>
    <fill>
      <patternFill patternType="solid">
        <fgColor rgb="FFFFFF00"/>
        <bgColor rgb="FF000000"/>
      </patternFill>
    </fill>
    <fill>
      <patternFill patternType="solid">
        <fgColor rgb="FFFFFFFF"/>
        <bgColor rgb="FF000000"/>
      </patternFill>
    </fill>
    <fill>
      <patternFill patternType="solid">
        <fgColor rgb="FF92D050"/>
        <bgColor indexed="64"/>
      </patternFill>
    </fill>
    <fill>
      <patternFill patternType="solid">
        <fgColor theme="0" tint="-0.14999847407452621"/>
        <bgColor indexed="64"/>
      </patternFill>
    </fill>
    <fill>
      <patternFill patternType="solid">
        <fgColor rgb="FF00FF00"/>
        <bgColor indexed="64"/>
      </patternFill>
    </fill>
    <fill>
      <patternFill patternType="solid">
        <fgColor rgb="FF00FFFF"/>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top/>
      <bottom/>
      <diagonal/>
    </border>
    <border>
      <left/>
      <right style="thin">
        <color indexed="64"/>
      </right>
      <top/>
      <bottom/>
      <diagonal/>
    </border>
    <border>
      <left style="medium">
        <color indexed="64"/>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diagonal/>
    </border>
    <border>
      <left/>
      <right style="thin">
        <color indexed="64"/>
      </right>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medium">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theme="6" tint="0.79998168889431442"/>
      </top>
      <bottom style="thin">
        <color theme="6" tint="0.79998168889431442"/>
      </bottom>
      <diagonal/>
    </border>
    <border>
      <left/>
      <right/>
      <top style="thin">
        <color rgb="FFEBF1DE"/>
      </top>
      <bottom style="thin">
        <color rgb="FFEBF1DE"/>
      </bottom>
      <diagonal/>
    </border>
  </borders>
  <cellStyleXfs count="4">
    <xf numFmtId="0" fontId="0" fillId="0" borderId="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cellStyleXfs>
  <cellXfs count="468">
    <xf numFmtId="0" fontId="0" fillId="0" borderId="0" xfId="0"/>
    <xf numFmtId="0" fontId="0" fillId="0" borderId="1" xfId="0" applyBorder="1"/>
    <xf numFmtId="0" fontId="2" fillId="0" borderId="0" xfId="0" applyFont="1"/>
    <xf numFmtId="10" fontId="0" fillId="0" borderId="1" xfId="0" applyNumberFormat="1" applyBorder="1" applyAlignment="1">
      <alignment horizontal="center"/>
    </xf>
    <xf numFmtId="0" fontId="7" fillId="0" borderId="0" xfId="0" applyFont="1"/>
    <xf numFmtId="0" fontId="8" fillId="0" borderId="0" xfId="0" applyFont="1"/>
    <xf numFmtId="0" fontId="10" fillId="0" borderId="0" xfId="0" applyFont="1"/>
    <xf numFmtId="0" fontId="11" fillId="0" borderId="0" xfId="0" applyFont="1"/>
    <xf numFmtId="0" fontId="12" fillId="0" borderId="0" xfId="0" applyFont="1"/>
    <xf numFmtId="44" fontId="12" fillId="2" borderId="1" xfId="2" applyFont="1" applyFill="1" applyBorder="1"/>
    <xf numFmtId="10" fontId="12" fillId="2" borderId="1" xfId="3" applyNumberFormat="1" applyFont="1" applyFill="1" applyBorder="1"/>
    <xf numFmtId="10" fontId="12" fillId="2" borderId="1" xfId="0" applyNumberFormat="1" applyFont="1" applyFill="1" applyBorder="1"/>
    <xf numFmtId="2" fontId="12" fillId="2" borderId="1" xfId="0" applyNumberFormat="1" applyFont="1" applyFill="1" applyBorder="1"/>
    <xf numFmtId="4" fontId="12" fillId="2" borderId="1" xfId="0" applyNumberFormat="1" applyFont="1" applyFill="1" applyBorder="1"/>
    <xf numFmtId="0" fontId="13" fillId="0" borderId="0" xfId="0" applyFont="1"/>
    <xf numFmtId="0" fontId="14" fillId="0" borderId="0" xfId="0" applyFont="1"/>
    <xf numFmtId="0" fontId="15" fillId="0" borderId="0" xfId="0" applyFont="1"/>
    <xf numFmtId="0" fontId="16" fillId="0" borderId="0" xfId="0" applyFont="1"/>
    <xf numFmtId="0" fontId="16" fillId="0" borderId="1" xfId="0" applyFont="1" applyBorder="1"/>
    <xf numFmtId="0" fontId="12" fillId="0" borderId="1" xfId="0" applyFont="1" applyBorder="1"/>
    <xf numFmtId="10" fontId="16" fillId="0" borderId="0" xfId="0" applyNumberFormat="1" applyFont="1"/>
    <xf numFmtId="3" fontId="12" fillId="0" borderId="1" xfId="0" applyNumberFormat="1" applyFont="1" applyBorder="1"/>
    <xf numFmtId="10" fontId="16" fillId="0" borderId="1" xfId="0" applyNumberFormat="1" applyFont="1" applyBorder="1"/>
    <xf numFmtId="165" fontId="16" fillId="0" borderId="1" xfId="1" applyNumberFormat="1" applyFont="1" applyBorder="1"/>
    <xf numFmtId="10" fontId="12" fillId="0" borderId="1" xfId="0" applyNumberFormat="1" applyFont="1" applyBorder="1"/>
    <xf numFmtId="44" fontId="12" fillId="0" borderId="2" xfId="2" applyFont="1" applyBorder="1"/>
    <xf numFmtId="44" fontId="12" fillId="0" borderId="0" xfId="2" applyFont="1"/>
    <xf numFmtId="8" fontId="12" fillId="0" borderId="2" xfId="0" applyNumberFormat="1" applyFont="1" applyBorder="1"/>
    <xf numFmtId="44" fontId="12" fillId="2" borderId="1" xfId="0" applyNumberFormat="1" applyFont="1" applyFill="1" applyBorder="1"/>
    <xf numFmtId="0" fontId="10" fillId="0" borderId="0" xfId="0" applyFont="1" applyAlignment="1">
      <alignment horizontal="centerContinuous"/>
    </xf>
    <xf numFmtId="0" fontId="12" fillId="0" borderId="1" xfId="0" applyFont="1" applyBorder="1" applyAlignment="1">
      <alignment horizontal="center"/>
    </xf>
    <xf numFmtId="0" fontId="19" fillId="0" borderId="0" xfId="0" applyFont="1"/>
    <xf numFmtId="0" fontId="12" fillId="0" borderId="2" xfId="0" applyFont="1" applyBorder="1"/>
    <xf numFmtId="44" fontId="12" fillId="3" borderId="1" xfId="2" applyFont="1" applyFill="1" applyBorder="1"/>
    <xf numFmtId="44" fontId="12" fillId="0" borderId="0" xfId="2" applyFont="1" applyBorder="1"/>
    <xf numFmtId="0" fontId="12" fillId="2" borderId="1" xfId="0" applyFont="1" applyFill="1" applyBorder="1" applyAlignment="1">
      <alignment horizontal="center"/>
    </xf>
    <xf numFmtId="0" fontId="12" fillId="0" borderId="3" xfId="0" applyFont="1" applyBorder="1"/>
    <xf numFmtId="44" fontId="12" fillId="2" borderId="3" xfId="0" applyNumberFormat="1" applyFont="1" applyFill="1" applyBorder="1"/>
    <xf numFmtId="44" fontId="12" fillId="2" borderId="3" xfId="2" applyFont="1" applyFill="1" applyBorder="1"/>
    <xf numFmtId="0" fontId="12" fillId="2" borderId="2" xfId="0" applyFont="1" applyFill="1" applyBorder="1"/>
    <xf numFmtId="44" fontId="12" fillId="2" borderId="2" xfId="0" applyNumberFormat="1" applyFont="1" applyFill="1" applyBorder="1"/>
    <xf numFmtId="44" fontId="12" fillId="2" borderId="4" xfId="0" applyNumberFormat="1" applyFont="1" applyFill="1" applyBorder="1"/>
    <xf numFmtId="0" fontId="21" fillId="0" borderId="5" xfId="0" applyFont="1" applyBorder="1" applyAlignment="1">
      <alignment horizontal="center"/>
    </xf>
    <xf numFmtId="0" fontId="21" fillId="0" borderId="1" xfId="0" applyFont="1" applyBorder="1" applyAlignment="1">
      <alignment horizontal="center"/>
    </xf>
    <xf numFmtId="0" fontId="22" fillId="0" borderId="1" xfId="0" applyFont="1" applyBorder="1"/>
    <xf numFmtId="0" fontId="22" fillId="0" borderId="0" xfId="0" applyFont="1" applyBorder="1"/>
    <xf numFmtId="0" fontId="22" fillId="0" borderId="0" xfId="0" applyFont="1" applyFill="1" applyBorder="1"/>
    <xf numFmtId="0" fontId="22" fillId="0" borderId="0" xfId="0" applyFont="1"/>
    <xf numFmtId="0" fontId="22" fillId="0" borderId="1" xfId="0" applyFont="1" applyFill="1" applyBorder="1"/>
    <xf numFmtId="0" fontId="23" fillId="0" borderId="1" xfId="0" applyFont="1" applyBorder="1"/>
    <xf numFmtId="0" fontId="22" fillId="0" borderId="1" xfId="0" applyFont="1" applyBorder="1" applyAlignment="1">
      <alignment horizontal="center"/>
    </xf>
    <xf numFmtId="0" fontId="22" fillId="0" borderId="0" xfId="0" applyFont="1" applyBorder="1" applyAlignment="1">
      <alignment horizontal="center"/>
    </xf>
    <xf numFmtId="0" fontId="22" fillId="0" borderId="0" xfId="0" applyFont="1" applyAlignment="1">
      <alignment horizontal="center"/>
    </xf>
    <xf numFmtId="0" fontId="24" fillId="0" borderId="0" xfId="0" applyFont="1"/>
    <xf numFmtId="0" fontId="25" fillId="0" borderId="6" xfId="0" applyFont="1" applyBorder="1"/>
    <xf numFmtId="0" fontId="25" fillId="0" borderId="7" xfId="0" applyFont="1" applyBorder="1"/>
    <xf numFmtId="0" fontId="25" fillId="0" borderId="0" xfId="0" applyFont="1"/>
    <xf numFmtId="0" fontId="24" fillId="0" borderId="0" xfId="0" applyFont="1" applyAlignment="1"/>
    <xf numFmtId="0" fontId="25" fillId="0" borderId="8" xfId="0" applyFont="1" applyBorder="1"/>
    <xf numFmtId="0" fontId="25" fillId="0" borderId="9" xfId="0" applyFont="1" applyBorder="1"/>
    <xf numFmtId="0" fontId="25" fillId="0" borderId="1" xfId="0" applyFont="1" applyFill="1" applyBorder="1"/>
    <xf numFmtId="44" fontId="25" fillId="4" borderId="1" xfId="2" applyFont="1" applyFill="1" applyBorder="1" applyAlignment="1">
      <alignment horizontal="center"/>
    </xf>
    <xf numFmtId="0" fontId="47" fillId="0" borderId="0" xfId="0" applyFont="1"/>
    <xf numFmtId="0" fontId="25" fillId="0" borderId="0" xfId="0" applyFont="1" applyFill="1" applyBorder="1"/>
    <xf numFmtId="10" fontId="25" fillId="4" borderId="1" xfId="2" applyNumberFormat="1" applyFont="1" applyFill="1" applyBorder="1" applyAlignment="1">
      <alignment horizontal="center"/>
    </xf>
    <xf numFmtId="0" fontId="24" fillId="0" borderId="0" xfId="0" applyFont="1" applyFill="1" applyBorder="1"/>
    <xf numFmtId="44" fontId="25" fillId="0" borderId="0" xfId="2" applyFont="1" applyFill="1" applyBorder="1" applyAlignment="1">
      <alignment horizontal="center"/>
    </xf>
    <xf numFmtId="10" fontId="25" fillId="4" borderId="1" xfId="0" applyNumberFormat="1" applyFont="1" applyFill="1" applyBorder="1" applyAlignment="1">
      <alignment horizontal="center"/>
    </xf>
    <xf numFmtId="2" fontId="25" fillId="4" borderId="1" xfId="0" applyNumberFormat="1" applyFont="1" applyFill="1" applyBorder="1" applyAlignment="1">
      <alignment horizontal="center"/>
    </xf>
    <xf numFmtId="10" fontId="25" fillId="0" borderId="0" xfId="0" applyNumberFormat="1" applyFont="1" applyFill="1" applyBorder="1"/>
    <xf numFmtId="10" fontId="25" fillId="5" borderId="0" xfId="0" applyNumberFormat="1" applyFont="1" applyFill="1" applyBorder="1" applyAlignment="1">
      <alignment horizontal="center"/>
    </xf>
    <xf numFmtId="164" fontId="25" fillId="4" borderId="1" xfId="0" applyNumberFormat="1" applyFont="1" applyFill="1" applyBorder="1" applyAlignment="1">
      <alignment horizontal="center"/>
    </xf>
    <xf numFmtId="10" fontId="25" fillId="0" borderId="0" xfId="0" applyNumberFormat="1" applyFont="1" applyFill="1" applyBorder="1" applyAlignment="1">
      <alignment horizontal="center"/>
    </xf>
    <xf numFmtId="0" fontId="27" fillId="0" borderId="0" xfId="0" applyFont="1" applyFill="1" applyBorder="1" applyAlignment="1"/>
    <xf numFmtId="0" fontId="27" fillId="0" borderId="0" xfId="0" applyFont="1"/>
    <xf numFmtId="0" fontId="25" fillId="0" borderId="0" xfId="0" applyFont="1" applyFill="1" applyBorder="1" applyAlignment="1"/>
    <xf numFmtId="0" fontId="25" fillId="4" borderId="1" xfId="0" applyFont="1" applyFill="1" applyBorder="1" applyAlignment="1">
      <alignment horizontal="center"/>
    </xf>
    <xf numFmtId="9" fontId="25" fillId="4" borderId="1" xfId="0" applyNumberFormat="1" applyFont="1" applyFill="1" applyBorder="1" applyAlignment="1">
      <alignment horizontal="center"/>
    </xf>
    <xf numFmtId="9" fontId="25" fillId="5" borderId="0" xfId="0" applyNumberFormat="1" applyFont="1" applyFill="1" applyBorder="1" applyAlignment="1">
      <alignment horizontal="center"/>
    </xf>
    <xf numFmtId="0" fontId="8" fillId="0" borderId="0" xfId="0" applyFont="1" applyAlignment="1">
      <alignment horizontal="left"/>
    </xf>
    <xf numFmtId="10" fontId="12" fillId="4" borderId="2" xfId="0" applyNumberFormat="1" applyFont="1" applyFill="1" applyBorder="1" applyAlignment="1">
      <alignment horizontal="center"/>
    </xf>
    <xf numFmtId="8" fontId="12" fillId="2" borderId="2" xfId="0" applyNumberFormat="1" applyFont="1" applyFill="1" applyBorder="1"/>
    <xf numFmtId="0" fontId="25" fillId="0" borderId="0" xfId="0" applyFont="1" applyBorder="1"/>
    <xf numFmtId="0" fontId="26" fillId="5" borderId="0" xfId="0" applyFont="1" applyFill="1" applyBorder="1" applyAlignment="1"/>
    <xf numFmtId="0" fontId="27" fillId="5" borderId="0" xfId="0" applyFont="1" applyFill="1" applyBorder="1" applyAlignment="1"/>
    <xf numFmtId="44" fontId="25" fillId="4" borderId="1" xfId="2" applyFont="1" applyFill="1" applyBorder="1" applyAlignment="1">
      <alignment horizontal="center"/>
    </xf>
    <xf numFmtId="0" fontId="24" fillId="0" borderId="10" xfId="0" applyFont="1" applyBorder="1"/>
    <xf numFmtId="0" fontId="25" fillId="0" borderId="11" xfId="0" applyFont="1" applyBorder="1"/>
    <xf numFmtId="0" fontId="25" fillId="0" borderId="12" xfId="0" applyFont="1" applyBorder="1"/>
    <xf numFmtId="0" fontId="22" fillId="6" borderId="1" xfId="0" applyFont="1" applyFill="1" applyBorder="1"/>
    <xf numFmtId="10" fontId="22" fillId="6" borderId="1" xfId="3" applyNumberFormat="1" applyFont="1" applyFill="1" applyBorder="1" applyAlignment="1">
      <alignment horizontal="center"/>
    </xf>
    <xf numFmtId="10" fontId="22" fillId="6" borderId="1" xfId="0" applyNumberFormat="1" applyFont="1" applyFill="1" applyBorder="1" applyAlignment="1">
      <alignment horizontal="center"/>
    </xf>
    <xf numFmtId="44" fontId="22" fillId="6" borderId="1" xfId="2" applyFont="1" applyFill="1" applyBorder="1"/>
    <xf numFmtId="44" fontId="22" fillId="6" borderId="1" xfId="2" applyFont="1" applyFill="1" applyBorder="1" applyAlignment="1">
      <alignment horizontal="center"/>
    </xf>
    <xf numFmtId="10" fontId="22" fillId="6" borderId="1" xfId="3" applyNumberFormat="1" applyFont="1" applyFill="1" applyBorder="1"/>
    <xf numFmtId="10" fontId="22" fillId="6" borderId="1" xfId="2" applyNumberFormat="1" applyFont="1" applyFill="1" applyBorder="1"/>
    <xf numFmtId="10" fontId="22" fillId="6" borderId="1" xfId="2" applyNumberFormat="1" applyFont="1" applyFill="1" applyBorder="1" applyAlignment="1">
      <alignment horizontal="center"/>
    </xf>
    <xf numFmtId="44" fontId="22" fillId="6" borderId="1" xfId="0" applyNumberFormat="1" applyFont="1" applyFill="1" applyBorder="1" applyAlignment="1">
      <alignment horizontal="center"/>
    </xf>
    <xf numFmtId="0" fontId="22" fillId="6" borderId="1" xfId="0" applyFont="1" applyFill="1" applyBorder="1" applyAlignment="1">
      <alignment horizontal="center"/>
    </xf>
    <xf numFmtId="44" fontId="22" fillId="6" borderId="1" xfId="0" applyNumberFormat="1" applyFont="1" applyFill="1" applyBorder="1"/>
    <xf numFmtId="10" fontId="22" fillId="6" borderId="1" xfId="0" applyNumberFormat="1" applyFont="1" applyFill="1" applyBorder="1"/>
    <xf numFmtId="164" fontId="22" fillId="6" borderId="1" xfId="0" applyNumberFormat="1" applyFont="1" applyFill="1" applyBorder="1"/>
    <xf numFmtId="8" fontId="22" fillId="6" borderId="1" xfId="0" applyNumberFormat="1" applyFont="1" applyFill="1" applyBorder="1"/>
    <xf numFmtId="43" fontId="22" fillId="6" borderId="1" xfId="1" applyNumberFormat="1" applyFont="1" applyFill="1" applyBorder="1"/>
    <xf numFmtId="44" fontId="22" fillId="6" borderId="1" xfId="2" applyNumberFormat="1" applyFont="1" applyFill="1" applyBorder="1"/>
    <xf numFmtId="2" fontId="22" fillId="6" borderId="1" xfId="0" applyNumberFormat="1" applyFont="1" applyFill="1" applyBorder="1" applyAlignment="1">
      <alignment horizontal="center"/>
    </xf>
    <xf numFmtId="168" fontId="22" fillId="6" borderId="1" xfId="0" applyNumberFormat="1" applyFont="1" applyFill="1" applyBorder="1"/>
    <xf numFmtId="168" fontId="22" fillId="6" borderId="1" xfId="0" applyNumberFormat="1" applyFont="1" applyFill="1" applyBorder="1" applyAlignment="1">
      <alignment horizontal="center"/>
    </xf>
    <xf numFmtId="44" fontId="22" fillId="7" borderId="1" xfId="2" applyFont="1" applyFill="1" applyBorder="1" applyAlignment="1">
      <alignment horizontal="center"/>
    </xf>
    <xf numFmtId="10" fontId="22" fillId="7" borderId="1" xfId="3" applyNumberFormat="1" applyFont="1" applyFill="1" applyBorder="1" applyAlignment="1">
      <alignment horizontal="center"/>
    </xf>
    <xf numFmtId="44" fontId="0" fillId="7" borderId="1" xfId="0" applyNumberFormat="1" applyFill="1" applyBorder="1"/>
    <xf numFmtId="0" fontId="28" fillId="0" borderId="0" xfId="0" applyFont="1"/>
    <xf numFmtId="0" fontId="16" fillId="0" borderId="0" xfId="0" applyFont="1" applyBorder="1"/>
    <xf numFmtId="0" fontId="12" fillId="0" borderId="0" xfId="0" applyFont="1" applyBorder="1"/>
    <xf numFmtId="0" fontId="12" fillId="3" borderId="1" xfId="0" applyFont="1" applyFill="1" applyBorder="1"/>
    <xf numFmtId="0" fontId="12" fillId="0" borderId="0" xfId="0" applyFont="1" applyFill="1"/>
    <xf numFmtId="0" fontId="12" fillId="0" borderId="0" xfId="0" applyFont="1" applyFill="1" applyBorder="1"/>
    <xf numFmtId="0" fontId="14" fillId="0" borderId="0" xfId="0" applyFont="1" applyAlignment="1">
      <alignment horizontal="center"/>
    </xf>
    <xf numFmtId="0" fontId="14" fillId="0" borderId="1" xfId="0" applyFont="1" applyBorder="1" applyAlignment="1">
      <alignment horizontal="center"/>
    </xf>
    <xf numFmtId="2" fontId="12" fillId="6" borderId="1" xfId="0" applyNumberFormat="1" applyFont="1" applyFill="1" applyBorder="1"/>
    <xf numFmtId="44" fontId="12" fillId="6" borderId="1" xfId="0" applyNumberFormat="1" applyFont="1" applyFill="1" applyBorder="1"/>
    <xf numFmtId="44" fontId="12" fillId="6" borderId="1" xfId="2" applyFont="1" applyFill="1" applyBorder="1"/>
    <xf numFmtId="10" fontId="12" fillId="6" borderId="1" xfId="3" applyNumberFormat="1" applyFont="1" applyFill="1" applyBorder="1"/>
    <xf numFmtId="10" fontId="12" fillId="6" borderId="3" xfId="0" applyNumberFormat="1" applyFont="1" applyFill="1" applyBorder="1"/>
    <xf numFmtId="10" fontId="12" fillId="6" borderId="1" xfId="0" applyNumberFormat="1" applyFont="1" applyFill="1" applyBorder="1"/>
    <xf numFmtId="10" fontId="12" fillId="6" borderId="13" xfId="3" applyNumberFormat="1" applyFont="1" applyFill="1" applyBorder="1"/>
    <xf numFmtId="10" fontId="12" fillId="6" borderId="2" xfId="3" applyNumberFormat="1" applyFont="1" applyFill="1" applyBorder="1"/>
    <xf numFmtId="2" fontId="12" fillId="6" borderId="1" xfId="2" applyNumberFormat="1" applyFont="1" applyFill="1" applyBorder="1"/>
    <xf numFmtId="0" fontId="29" fillId="0" borderId="0" xfId="0" applyFont="1"/>
    <xf numFmtId="0" fontId="30" fillId="0" borderId="0" xfId="0" applyFont="1"/>
    <xf numFmtId="0" fontId="20" fillId="0" borderId="0" xfId="0" applyFont="1"/>
    <xf numFmtId="0" fontId="12" fillId="3" borderId="1" xfId="0" applyFont="1" applyFill="1" applyBorder="1" applyAlignment="1">
      <alignment horizontal="center"/>
    </xf>
    <xf numFmtId="10" fontId="16" fillId="0" borderId="0" xfId="0" applyNumberFormat="1" applyFont="1" applyBorder="1" applyAlignment="1">
      <alignment horizontal="center"/>
    </xf>
    <xf numFmtId="10" fontId="13" fillId="0" borderId="0" xfId="0" applyNumberFormat="1" applyFont="1" applyBorder="1" applyAlignment="1">
      <alignment horizontal="center"/>
    </xf>
    <xf numFmtId="0" fontId="14" fillId="0" borderId="1" xfId="0" applyFont="1" applyBorder="1" applyAlignment="1">
      <alignment horizontal="centerContinuous"/>
    </xf>
    <xf numFmtId="0" fontId="14" fillId="0" borderId="1" xfId="0" applyFont="1" applyBorder="1"/>
    <xf numFmtId="2" fontId="12" fillId="0" borderId="1" xfId="0" applyNumberFormat="1" applyFont="1" applyBorder="1" applyAlignment="1">
      <alignment horizontal="center"/>
    </xf>
    <xf numFmtId="0" fontId="12" fillId="0" borderId="1" xfId="0" applyFont="1" applyBorder="1" applyAlignment="1">
      <alignment horizontal="centerContinuous"/>
    </xf>
    <xf numFmtId="10" fontId="12" fillId="6" borderId="2" xfId="0" applyNumberFormat="1" applyFont="1" applyFill="1" applyBorder="1"/>
    <xf numFmtId="2" fontId="16" fillId="6" borderId="2" xfId="0" applyNumberFormat="1" applyFont="1" applyFill="1" applyBorder="1" applyAlignment="1">
      <alignment horizontal="center"/>
    </xf>
    <xf numFmtId="0" fontId="31" fillId="6" borderId="4" xfId="0" applyFont="1" applyFill="1" applyBorder="1" applyAlignment="1">
      <alignment horizontal="center"/>
    </xf>
    <xf numFmtId="10" fontId="16" fillId="6" borderId="2" xfId="3" applyNumberFormat="1" applyFont="1" applyFill="1" applyBorder="1" applyAlignment="1">
      <alignment horizontal="center"/>
    </xf>
    <xf numFmtId="10" fontId="16" fillId="6" borderId="2" xfId="0" applyNumberFormat="1" applyFont="1" applyFill="1" applyBorder="1" applyAlignment="1">
      <alignment horizontal="center"/>
    </xf>
    <xf numFmtId="0" fontId="33" fillId="0" borderId="0" xfId="0" applyFont="1"/>
    <xf numFmtId="0" fontId="7" fillId="5" borderId="0" xfId="0" applyFont="1" applyFill="1"/>
    <xf numFmtId="0" fontId="32" fillId="6" borderId="1" xfId="0" applyFont="1" applyFill="1" applyBorder="1"/>
    <xf numFmtId="0" fontId="33" fillId="6" borderId="1" xfId="0" applyFont="1" applyFill="1" applyBorder="1"/>
    <xf numFmtId="44" fontId="33" fillId="6" borderId="1" xfId="2" applyFont="1" applyFill="1" applyBorder="1"/>
    <xf numFmtId="10" fontId="33" fillId="6" borderId="1" xfId="0" applyNumberFormat="1" applyFont="1" applyFill="1" applyBorder="1"/>
    <xf numFmtId="0" fontId="33" fillId="6" borderId="3" xfId="0" applyFont="1" applyFill="1" applyBorder="1"/>
    <xf numFmtId="10" fontId="33" fillId="6" borderId="3" xfId="0" applyNumberFormat="1" applyFont="1" applyFill="1" applyBorder="1" applyAlignment="1">
      <alignment horizontal="right"/>
    </xf>
    <xf numFmtId="0" fontId="33" fillId="0" borderId="10" xfId="0" applyFont="1" applyBorder="1"/>
    <xf numFmtId="169" fontId="22" fillId="6" borderId="1" xfId="0" applyNumberFormat="1" applyFont="1" applyFill="1" applyBorder="1" applyAlignment="1">
      <alignment horizontal="center"/>
    </xf>
    <xf numFmtId="0" fontId="22" fillId="0" borderId="0" xfId="0" applyFont="1" applyBorder="1" applyAlignment="1">
      <alignment horizontal="left"/>
    </xf>
    <xf numFmtId="0" fontId="24" fillId="0" borderId="11" xfId="0" applyFont="1" applyBorder="1"/>
    <xf numFmtId="0" fontId="25" fillId="0" borderId="0" xfId="0" applyFont="1" applyAlignment="1"/>
    <xf numFmtId="0" fontId="25" fillId="4" borderId="1" xfId="0" applyFont="1" applyFill="1" applyBorder="1" applyAlignment="1"/>
    <xf numFmtId="2" fontId="25" fillId="4" borderId="14" xfId="2" applyNumberFormat="1" applyFont="1" applyFill="1" applyBorder="1" applyAlignment="1">
      <alignment horizontal="center"/>
    </xf>
    <xf numFmtId="10" fontId="25" fillId="4" borderId="1" xfId="0" applyNumberFormat="1" applyFont="1" applyFill="1" applyBorder="1" applyAlignment="1">
      <alignment horizontal="center"/>
    </xf>
    <xf numFmtId="0" fontId="25" fillId="0" borderId="1" xfId="0" applyFont="1" applyBorder="1"/>
    <xf numFmtId="0" fontId="0" fillId="0" borderId="1" xfId="0" applyBorder="1" applyAlignment="1">
      <alignment horizontal="center"/>
    </xf>
    <xf numFmtId="0" fontId="12" fillId="4" borderId="1" xfId="0" applyFont="1" applyFill="1" applyBorder="1"/>
    <xf numFmtId="0" fontId="12" fillId="6" borderId="1" xfId="0" applyFont="1" applyFill="1" applyBorder="1"/>
    <xf numFmtId="0" fontId="13" fillId="0" borderId="1" xfId="0" applyFont="1" applyBorder="1"/>
    <xf numFmtId="167" fontId="12" fillId="6" borderId="1" xfId="3" applyNumberFormat="1" applyFont="1" applyFill="1" applyBorder="1"/>
    <xf numFmtId="167" fontId="12" fillId="6" borderId="1" xfId="0" applyNumberFormat="1" applyFont="1" applyFill="1" applyBorder="1"/>
    <xf numFmtId="2" fontId="12" fillId="3" borderId="1" xfId="0" applyNumberFormat="1" applyFont="1" applyFill="1" applyBorder="1"/>
    <xf numFmtId="10" fontId="25" fillId="5" borderId="0" xfId="3" applyNumberFormat="1" applyFont="1" applyFill="1" applyBorder="1"/>
    <xf numFmtId="0" fontId="25" fillId="0" borderId="15" xfId="0" applyFont="1" applyBorder="1"/>
    <xf numFmtId="0" fontId="7" fillId="0" borderId="16" xfId="0" applyFont="1" applyBorder="1"/>
    <xf numFmtId="0" fontId="7" fillId="0" borderId="17" xfId="0" applyFont="1" applyBorder="1"/>
    <xf numFmtId="0" fontId="24" fillId="0" borderId="0" xfId="0" applyFont="1" applyBorder="1"/>
    <xf numFmtId="44" fontId="25" fillId="4" borderId="14" xfId="2" applyFont="1" applyFill="1" applyBorder="1" applyAlignment="1">
      <alignment horizontal="center"/>
    </xf>
    <xf numFmtId="0" fontId="12" fillId="4" borderId="1" xfId="0" applyFont="1" applyFill="1" applyBorder="1"/>
    <xf numFmtId="171" fontId="12" fillId="4" borderId="1" xfId="2" applyNumberFormat="1" applyFont="1" applyFill="1" applyBorder="1"/>
    <xf numFmtId="169" fontId="12" fillId="6" borderId="1" xfId="0" applyNumberFormat="1" applyFont="1" applyFill="1" applyBorder="1"/>
    <xf numFmtId="171" fontId="12" fillId="6" borderId="1" xfId="0" applyNumberFormat="1" applyFont="1" applyFill="1" applyBorder="1"/>
    <xf numFmtId="0" fontId="0" fillId="6" borderId="1" xfId="0" applyFill="1" applyBorder="1"/>
    <xf numFmtId="171" fontId="3" fillId="6" borderId="1" xfId="2" applyNumberFormat="1" applyFont="1" applyFill="1" applyBorder="1"/>
    <xf numFmtId="169" fontId="0" fillId="6" borderId="1" xfId="0" applyNumberFormat="1" applyFill="1" applyBorder="1"/>
    <xf numFmtId="0" fontId="0" fillId="0" borderId="0" xfId="0" applyAlignment="1">
      <alignment horizontal="center"/>
    </xf>
    <xf numFmtId="10" fontId="0" fillId="0" borderId="1" xfId="3" applyNumberFormat="1" applyFont="1" applyBorder="1" applyAlignment="1">
      <alignment horizontal="center"/>
    </xf>
    <xf numFmtId="164" fontId="0" fillId="4" borderId="1" xfId="0" applyNumberFormat="1" applyFill="1" applyBorder="1" applyAlignment="1">
      <alignment horizontal="center"/>
    </xf>
    <xf numFmtId="2" fontId="34" fillId="0" borderId="1" xfId="0" applyNumberFormat="1" applyFont="1" applyBorder="1" applyAlignment="1">
      <alignment horizontal="center"/>
    </xf>
    <xf numFmtId="2" fontId="34" fillId="0" borderId="0" xfId="0" applyNumberFormat="1" applyFont="1"/>
    <xf numFmtId="2" fontId="12" fillId="0" borderId="0" xfId="0" applyNumberFormat="1" applyFont="1"/>
    <xf numFmtId="1" fontId="34" fillId="0" borderId="1" xfId="0" applyNumberFormat="1" applyFont="1" applyBorder="1" applyAlignment="1">
      <alignment horizontal="center"/>
    </xf>
    <xf numFmtId="2" fontId="34" fillId="3" borderId="1" xfId="0" applyNumberFormat="1" applyFont="1" applyFill="1" applyBorder="1" applyAlignment="1">
      <alignment horizontal="center"/>
    </xf>
    <xf numFmtId="2" fontId="35" fillId="0" borderId="0" xfId="0" applyNumberFormat="1" applyFont="1"/>
    <xf numFmtId="2" fontId="34" fillId="0" borderId="13" xfId="0" applyNumberFormat="1" applyFont="1" applyBorder="1" applyAlignment="1">
      <alignment horizontal="centerContinuous"/>
    </xf>
    <xf numFmtId="2" fontId="34" fillId="0" borderId="18" xfId="0" applyNumberFormat="1" applyFont="1" applyBorder="1" applyAlignment="1">
      <alignment horizontal="centerContinuous"/>
    </xf>
    <xf numFmtId="44" fontId="34" fillId="0" borderId="1" xfId="2" applyFont="1" applyBorder="1"/>
    <xf numFmtId="2" fontId="34" fillId="0" borderId="3" xfId="0" applyNumberFormat="1" applyFont="1" applyBorder="1" applyAlignment="1">
      <alignment horizontal="center"/>
    </xf>
    <xf numFmtId="44" fontId="34" fillId="0" borderId="3" xfId="2" applyFont="1" applyBorder="1"/>
    <xf numFmtId="164" fontId="12" fillId="0" borderId="2" xfId="0" applyNumberFormat="1" applyFont="1" applyBorder="1"/>
    <xf numFmtId="164" fontId="12" fillId="0" borderId="19" xfId="0" applyNumberFormat="1" applyFont="1" applyBorder="1"/>
    <xf numFmtId="6" fontId="12" fillId="0" borderId="1" xfId="2" applyNumberFormat="1" applyFont="1" applyBorder="1"/>
    <xf numFmtId="44" fontId="25" fillId="8" borderId="18" xfId="0" applyNumberFormat="1" applyFont="1" applyFill="1" applyBorder="1" applyAlignment="1">
      <alignment horizontal="center"/>
    </xf>
    <xf numFmtId="44" fontId="47" fillId="9" borderId="18" xfId="0" applyNumberFormat="1" applyFont="1" applyFill="1" applyBorder="1" applyAlignment="1">
      <alignment horizontal="left"/>
    </xf>
    <xf numFmtId="0" fontId="0" fillId="0" borderId="1" xfId="0" applyFill="1" applyBorder="1" applyAlignment="1">
      <alignment horizontal="center"/>
    </xf>
    <xf numFmtId="164" fontId="0" fillId="0" borderId="1" xfId="0" applyNumberFormat="1" applyBorder="1" applyAlignment="1">
      <alignment horizontal="center"/>
    </xf>
    <xf numFmtId="164" fontId="0" fillId="0" borderId="1" xfId="0" applyNumberFormat="1" applyBorder="1"/>
    <xf numFmtId="164" fontId="0" fillId="0" borderId="1" xfId="3" applyNumberFormat="1" applyFont="1" applyBorder="1" applyAlignment="1">
      <alignment horizontal="center"/>
    </xf>
    <xf numFmtId="164" fontId="0" fillId="0" borderId="0" xfId="0" applyNumberFormat="1" applyAlignment="1">
      <alignment horizontal="center"/>
    </xf>
    <xf numFmtId="164" fontId="0" fillId="0" borderId="0" xfId="0" applyNumberFormat="1"/>
    <xf numFmtId="164" fontId="12" fillId="6" borderId="2" xfId="0" applyNumberFormat="1" applyFont="1" applyFill="1" applyBorder="1"/>
    <xf numFmtId="0" fontId="27" fillId="0" borderId="11" xfId="0" applyFont="1" applyBorder="1"/>
    <xf numFmtId="0" fontId="36" fillId="0" borderId="0" xfId="0" applyFont="1"/>
    <xf numFmtId="0" fontId="25" fillId="0" borderId="20" xfId="0" applyFont="1" applyBorder="1"/>
    <xf numFmtId="0" fontId="25" fillId="0" borderId="21" xfId="0" applyFont="1" applyBorder="1"/>
    <xf numFmtId="0" fontId="16" fillId="5" borderId="22" xfId="0" applyFont="1" applyFill="1" applyBorder="1" applyAlignment="1">
      <alignment vertical="center" wrapText="1"/>
    </xf>
    <xf numFmtId="0" fontId="13" fillId="5" borderId="14" xfId="0" applyFont="1" applyFill="1" applyBorder="1" applyAlignment="1">
      <alignment horizontal="center" vertical="center" wrapText="1"/>
    </xf>
    <xf numFmtId="0" fontId="13" fillId="5" borderId="23" xfId="0" applyFont="1" applyFill="1" applyBorder="1" applyAlignment="1">
      <alignment horizontal="center" vertical="center" wrapText="1"/>
    </xf>
    <xf numFmtId="0" fontId="12" fillId="6" borderId="1" xfId="0" applyFont="1" applyFill="1" applyBorder="1" applyAlignment="1">
      <alignment horizontal="left" vertical="center" wrapText="1"/>
    </xf>
    <xf numFmtId="0" fontId="12" fillId="6" borderId="24" xfId="0" applyFont="1" applyFill="1" applyBorder="1" applyAlignment="1">
      <alignment horizontal="left" vertical="center" wrapText="1"/>
    </xf>
    <xf numFmtId="9" fontId="12" fillId="6" borderId="1" xfId="3" applyFont="1" applyFill="1" applyBorder="1" applyAlignment="1">
      <alignment horizontal="left" vertical="center" wrapText="1"/>
    </xf>
    <xf numFmtId="0" fontId="12" fillId="6" borderId="24" xfId="0" applyFont="1" applyFill="1" applyBorder="1" applyAlignment="1">
      <alignment horizontal="left" vertical="center"/>
    </xf>
    <xf numFmtId="0" fontId="12" fillId="6" borderId="1" xfId="0" applyFont="1" applyFill="1" applyBorder="1" applyAlignment="1">
      <alignment horizontal="left"/>
    </xf>
    <xf numFmtId="0" fontId="12" fillId="6" borderId="24" xfId="0" applyFont="1" applyFill="1" applyBorder="1" applyAlignment="1">
      <alignment horizontal="left"/>
    </xf>
    <xf numFmtId="10" fontId="12" fillId="6" borderId="25" xfId="3" applyNumberFormat="1" applyFont="1" applyFill="1" applyBorder="1" applyAlignment="1">
      <alignment horizontal="left"/>
    </xf>
    <xf numFmtId="0" fontId="12" fillId="6" borderId="26" xfId="0" applyFont="1" applyFill="1" applyBorder="1" applyAlignment="1">
      <alignment horizontal="left"/>
    </xf>
    <xf numFmtId="0" fontId="12" fillId="5" borderId="22" xfId="0" applyFont="1" applyFill="1" applyBorder="1" applyAlignment="1">
      <alignment vertical="center"/>
    </xf>
    <xf numFmtId="0" fontId="12" fillId="5" borderId="27" xfId="0" applyFont="1" applyFill="1" applyBorder="1"/>
    <xf numFmtId="0" fontId="12" fillId="5" borderId="28" xfId="0" applyFont="1" applyFill="1" applyBorder="1"/>
    <xf numFmtId="0" fontId="27" fillId="0" borderId="0" xfId="0" applyFont="1" applyFill="1" applyBorder="1"/>
    <xf numFmtId="164" fontId="2" fillId="0" borderId="0" xfId="0" applyNumberFormat="1" applyFont="1" applyAlignment="1">
      <alignment horizontal="center"/>
    </xf>
    <xf numFmtId="164" fontId="2" fillId="0" borderId="0" xfId="0" applyNumberFormat="1" applyFont="1"/>
    <xf numFmtId="17" fontId="24" fillId="4" borderId="1" xfId="0" applyNumberFormat="1" applyFont="1" applyFill="1" applyBorder="1" applyAlignment="1">
      <alignment horizontal="center"/>
    </xf>
    <xf numFmtId="0" fontId="49" fillId="4" borderId="1" xfId="0" applyFont="1" applyFill="1" applyBorder="1" applyAlignment="1">
      <alignment horizontal="center"/>
    </xf>
    <xf numFmtId="0" fontId="12" fillId="4" borderId="1" xfId="0" applyFont="1" applyFill="1" applyBorder="1"/>
    <xf numFmtId="10" fontId="12" fillId="4" borderId="1" xfId="0" applyNumberFormat="1" applyFont="1" applyFill="1" applyBorder="1" applyAlignment="1">
      <alignment horizontal="center"/>
    </xf>
    <xf numFmtId="0" fontId="25" fillId="4" borderId="1" xfId="0" applyFont="1" applyFill="1" applyBorder="1" applyAlignment="1"/>
    <xf numFmtId="10" fontId="12" fillId="6" borderId="1" xfId="0" applyNumberFormat="1" applyFont="1" applyFill="1" applyBorder="1" applyAlignment="1">
      <alignment horizontal="center"/>
    </xf>
    <xf numFmtId="166" fontId="12" fillId="3" borderId="1" xfId="0" applyNumberFormat="1" applyFont="1" applyFill="1" applyBorder="1"/>
    <xf numFmtId="0" fontId="50" fillId="0" borderId="1" xfId="0" applyFont="1" applyBorder="1" applyAlignment="1">
      <alignment horizontal="center"/>
    </xf>
    <xf numFmtId="9" fontId="12" fillId="6" borderId="1" xfId="0" applyNumberFormat="1" applyFont="1" applyFill="1" applyBorder="1" applyAlignment="1">
      <alignment horizontal="center"/>
    </xf>
    <xf numFmtId="0" fontId="12" fillId="6" borderId="2" xfId="0" applyFont="1" applyFill="1" applyBorder="1" applyAlignment="1">
      <alignment horizontal="center"/>
    </xf>
    <xf numFmtId="0" fontId="37" fillId="0" borderId="0" xfId="0" applyFont="1"/>
    <xf numFmtId="2" fontId="12" fillId="4" borderId="1" xfId="0" applyNumberFormat="1" applyFont="1" applyFill="1" applyBorder="1"/>
    <xf numFmtId="0" fontId="28" fillId="0" borderId="0" xfId="0" applyFont="1" applyFill="1" applyBorder="1" applyAlignment="1">
      <alignment horizontal="left"/>
    </xf>
    <xf numFmtId="164" fontId="0" fillId="6" borderId="1" xfId="0" applyNumberFormat="1" applyFill="1" applyBorder="1"/>
    <xf numFmtId="0" fontId="2" fillId="0" borderId="1" xfId="0" applyFont="1" applyBorder="1" applyAlignment="1">
      <alignment horizontal="center" wrapText="1"/>
    </xf>
    <xf numFmtId="10" fontId="2" fillId="0" borderId="1" xfId="0" applyNumberFormat="1" applyFont="1" applyBorder="1" applyAlignment="1">
      <alignment horizontal="center" wrapText="1"/>
    </xf>
    <xf numFmtId="2" fontId="2" fillId="0" borderId="1" xfId="0" applyNumberFormat="1" applyFont="1" applyBorder="1" applyAlignment="1">
      <alignment horizontal="center" wrapText="1"/>
    </xf>
    <xf numFmtId="0" fontId="13" fillId="5" borderId="0" xfId="0" applyFont="1" applyFill="1" applyBorder="1"/>
    <xf numFmtId="0" fontId="37" fillId="5" borderId="0" xfId="0" applyFont="1" applyFill="1" applyBorder="1"/>
    <xf numFmtId="0" fontId="25" fillId="4" borderId="1" xfId="0" applyFont="1" applyFill="1" applyBorder="1"/>
    <xf numFmtId="0" fontId="27" fillId="0" borderId="1" xfId="0" applyFont="1" applyBorder="1"/>
    <xf numFmtId="0" fontId="25" fillId="0" borderId="11" xfId="0" applyFont="1" applyFill="1" applyBorder="1"/>
    <xf numFmtId="0" fontId="27" fillId="0" borderId="8" xfId="0" applyFont="1" applyBorder="1"/>
    <xf numFmtId="0" fontId="25" fillId="0" borderId="29" xfId="0" applyFont="1" applyBorder="1"/>
    <xf numFmtId="0" fontId="41" fillId="0" borderId="0" xfId="0" applyFont="1"/>
    <xf numFmtId="0" fontId="7" fillId="4" borderId="1" xfId="0" applyFont="1" applyFill="1" applyBorder="1" applyAlignment="1">
      <alignment horizontal="center"/>
    </xf>
    <xf numFmtId="9" fontId="7" fillId="4" borderId="1" xfId="0" applyNumberFormat="1" applyFont="1" applyFill="1" applyBorder="1" applyAlignment="1">
      <alignment horizontal="center"/>
    </xf>
    <xf numFmtId="0" fontId="2" fillId="0" borderId="1" xfId="0" applyFont="1" applyBorder="1"/>
    <xf numFmtId="10" fontId="50" fillId="0" borderId="30" xfId="0" applyNumberFormat="1" applyFont="1" applyBorder="1" applyAlignment="1">
      <alignment horizontal="center"/>
    </xf>
    <xf numFmtId="10" fontId="25" fillId="4" borderId="1" xfId="3" applyNumberFormat="1" applyFont="1" applyFill="1" applyBorder="1" applyAlignment="1">
      <alignment horizontal="center"/>
    </xf>
    <xf numFmtId="164" fontId="25" fillId="0" borderId="0" xfId="0" applyNumberFormat="1" applyFont="1" applyFill="1" applyBorder="1" applyAlignment="1">
      <alignment horizontal="center"/>
    </xf>
    <xf numFmtId="2" fontId="25" fillId="0" borderId="0" xfId="0" applyNumberFormat="1" applyFont="1" applyFill="1" applyBorder="1" applyAlignment="1">
      <alignment horizontal="center"/>
    </xf>
    <xf numFmtId="168" fontId="25" fillId="10" borderId="1" xfId="0" applyNumberFormat="1" applyFont="1" applyFill="1" applyBorder="1"/>
    <xf numFmtId="10" fontId="25" fillId="10" borderId="1" xfId="0" applyNumberFormat="1" applyFont="1" applyFill="1" applyBorder="1"/>
    <xf numFmtId="10" fontId="25" fillId="10" borderId="1" xfId="3" applyNumberFormat="1" applyFont="1" applyFill="1" applyBorder="1"/>
    <xf numFmtId="2" fontId="25" fillId="10" borderId="1" xfId="0" applyNumberFormat="1" applyFont="1" applyFill="1" applyBorder="1"/>
    <xf numFmtId="10" fontId="25" fillId="10" borderId="3" xfId="3" applyNumberFormat="1" applyFont="1" applyFill="1" applyBorder="1"/>
    <xf numFmtId="10" fontId="25" fillId="10" borderId="25" xfId="3" applyNumberFormat="1" applyFont="1" applyFill="1" applyBorder="1"/>
    <xf numFmtId="0" fontId="7" fillId="0" borderId="1" xfId="0" applyFont="1" applyBorder="1"/>
    <xf numFmtId="0" fontId="51" fillId="0" borderId="0" xfId="0" applyFont="1"/>
    <xf numFmtId="0" fontId="52" fillId="0" borderId="31" xfId="0" applyFont="1" applyBorder="1" applyAlignment="1">
      <alignment horizontal="center"/>
    </xf>
    <xf numFmtId="0" fontId="52" fillId="0" borderId="14" xfId="0" applyFont="1" applyBorder="1" applyAlignment="1">
      <alignment horizontal="center"/>
    </xf>
    <xf numFmtId="16" fontId="52" fillId="0" borderId="14" xfId="0" applyNumberFormat="1" applyFont="1" applyBorder="1" applyAlignment="1">
      <alignment horizontal="center"/>
    </xf>
    <xf numFmtId="0" fontId="52" fillId="0" borderId="32" xfId="0" applyFont="1" applyFill="1" applyBorder="1" applyAlignment="1">
      <alignment horizontal="center"/>
    </xf>
    <xf numFmtId="0" fontId="52" fillId="0" borderId="33" xfId="0" applyFont="1" applyBorder="1"/>
    <xf numFmtId="44" fontId="46" fillId="0" borderId="34" xfId="2" applyFont="1" applyBorder="1"/>
    <xf numFmtId="0" fontId="53" fillId="0" borderId="35" xfId="0" applyFont="1" applyBorder="1"/>
    <xf numFmtId="0" fontId="53" fillId="0" borderId="36" xfId="0" applyFont="1" applyBorder="1"/>
    <xf numFmtId="168" fontId="53" fillId="0" borderId="1" xfId="2" applyNumberFormat="1" applyFont="1" applyBorder="1" applyAlignment="1">
      <alignment horizontal="center"/>
    </xf>
    <xf numFmtId="10" fontId="53" fillId="0" borderId="1" xfId="0" applyNumberFormat="1" applyFont="1" applyBorder="1" applyAlignment="1">
      <alignment horizontal="center"/>
    </xf>
    <xf numFmtId="0" fontId="53" fillId="0" borderId="1" xfId="0" applyFont="1" applyBorder="1" applyAlignment="1">
      <alignment horizontal="center"/>
    </xf>
    <xf numFmtId="10" fontId="53" fillId="0" borderId="13" xfId="0" applyNumberFormat="1" applyFont="1" applyBorder="1" applyAlignment="1">
      <alignment horizontal="center"/>
    </xf>
    <xf numFmtId="10" fontId="53" fillId="0" borderId="18" xfId="0" applyNumberFormat="1" applyFont="1" applyBorder="1" applyAlignment="1">
      <alignment horizontal="center"/>
    </xf>
    <xf numFmtId="2" fontId="53" fillId="0" borderId="13" xfId="0" applyNumberFormat="1" applyFont="1" applyBorder="1" applyAlignment="1"/>
    <xf numFmtId="2" fontId="53" fillId="0" borderId="18" xfId="0" applyNumberFormat="1" applyFont="1" applyBorder="1" applyAlignment="1">
      <alignment horizontal="left"/>
    </xf>
    <xf numFmtId="10" fontId="53" fillId="0" borderId="13" xfId="3" applyNumberFormat="1" applyFont="1" applyBorder="1" applyAlignment="1">
      <alignment horizontal="right"/>
    </xf>
    <xf numFmtId="10" fontId="53" fillId="0" borderId="18" xfId="3" applyNumberFormat="1" applyFont="1" applyBorder="1" applyAlignment="1">
      <alignment horizontal="center"/>
    </xf>
    <xf numFmtId="0" fontId="53" fillId="0" borderId="37" xfId="0" applyFont="1" applyFill="1" applyBorder="1"/>
    <xf numFmtId="10" fontId="53" fillId="0" borderId="25" xfId="0" applyNumberFormat="1" applyFont="1" applyBorder="1" applyAlignment="1">
      <alignment horizontal="center"/>
    </xf>
    <xf numFmtId="0" fontId="53" fillId="0" borderId="36" xfId="0" applyFont="1" applyBorder="1" applyAlignment="1">
      <alignment horizontal="center"/>
    </xf>
    <xf numFmtId="172" fontId="53" fillId="0" borderId="1" xfId="2" applyNumberFormat="1" applyFont="1" applyBorder="1"/>
    <xf numFmtId="10" fontId="53" fillId="0" borderId="1" xfId="3" applyNumberFormat="1" applyFont="1" applyBorder="1" applyAlignment="1">
      <alignment horizontal="center"/>
    </xf>
    <xf numFmtId="0" fontId="53" fillId="0" borderId="37" xfId="0" applyFont="1" applyBorder="1" applyAlignment="1">
      <alignment horizontal="center"/>
    </xf>
    <xf numFmtId="172" fontId="53" fillId="0" borderId="25" xfId="2" applyNumberFormat="1" applyFont="1" applyBorder="1"/>
    <xf numFmtId="10" fontId="53" fillId="0" borderId="25" xfId="3" applyNumberFormat="1" applyFont="1" applyBorder="1" applyAlignment="1">
      <alignment horizontal="center"/>
    </xf>
    <xf numFmtId="168" fontId="53" fillId="0" borderId="33" xfId="2" applyNumberFormat="1" applyFont="1" applyFill="1" applyBorder="1"/>
    <xf numFmtId="168" fontId="53" fillId="0" borderId="6" xfId="2" applyNumberFormat="1" applyFont="1" applyFill="1" applyBorder="1"/>
    <xf numFmtId="0" fontId="53" fillId="0" borderId="6" xfId="0" applyFont="1" applyBorder="1"/>
    <xf numFmtId="0" fontId="53" fillId="0" borderId="7" xfId="0" applyFont="1" applyBorder="1"/>
    <xf numFmtId="168" fontId="53" fillId="0" borderId="1" xfId="2" applyNumberFormat="1" applyFont="1" applyFill="1" applyBorder="1"/>
    <xf numFmtId="168" fontId="53" fillId="0" borderId="0" xfId="2" applyNumberFormat="1" applyFont="1" applyFill="1" applyBorder="1"/>
    <xf numFmtId="0" fontId="53" fillId="0" borderId="0" xfId="0" applyFont="1" applyBorder="1"/>
    <xf numFmtId="0" fontId="53" fillId="0" borderId="12" xfId="0" applyFont="1" applyBorder="1"/>
    <xf numFmtId="0" fontId="53" fillId="0" borderId="5" xfId="0" applyFont="1" applyFill="1" applyBorder="1" applyAlignment="1">
      <alignment horizontal="left"/>
    </xf>
    <xf numFmtId="0" fontId="53" fillId="0" borderId="0" xfId="0" applyFont="1" applyBorder="1" applyAlignment="1">
      <alignment horizontal="left"/>
    </xf>
    <xf numFmtId="0" fontId="53" fillId="0" borderId="0" xfId="0" applyFont="1"/>
    <xf numFmtId="0" fontId="53" fillId="0" borderId="0" xfId="0" applyFont="1" applyAlignment="1">
      <alignment horizontal="left"/>
    </xf>
    <xf numFmtId="43" fontId="53" fillId="0" borderId="1" xfId="0" applyNumberFormat="1" applyFont="1" applyBorder="1"/>
    <xf numFmtId="0" fontId="53" fillId="0" borderId="5" xfId="0" applyFont="1" applyBorder="1"/>
    <xf numFmtId="0" fontId="53" fillId="0" borderId="38" xfId="0" applyFont="1" applyBorder="1"/>
    <xf numFmtId="0" fontId="53" fillId="0" borderId="39" xfId="0" applyFont="1" applyBorder="1"/>
    <xf numFmtId="10" fontId="53" fillId="0" borderId="20" xfId="3" applyNumberFormat="1" applyFont="1" applyBorder="1" applyAlignment="1">
      <alignment horizontal="right"/>
    </xf>
    <xf numFmtId="10" fontId="53" fillId="0" borderId="17" xfId="3" applyNumberFormat="1" applyFont="1" applyBorder="1" applyAlignment="1">
      <alignment horizontal="center"/>
    </xf>
    <xf numFmtId="0" fontId="53" fillId="0" borderId="16" xfId="0" applyFont="1" applyBorder="1"/>
    <xf numFmtId="10" fontId="53" fillId="0" borderId="3" xfId="0" applyNumberFormat="1" applyFont="1" applyBorder="1" applyAlignment="1">
      <alignment horizontal="center"/>
    </xf>
    <xf numFmtId="0" fontId="53" fillId="0" borderId="34" xfId="0" applyFont="1" applyBorder="1" applyAlignment="1">
      <alignment horizontal="center"/>
    </xf>
    <xf numFmtId="0" fontId="53" fillId="0" borderId="40" xfId="0" applyFont="1" applyBorder="1" applyAlignment="1">
      <alignment horizontal="center"/>
    </xf>
    <xf numFmtId="2" fontId="53" fillId="0" borderId="15" xfId="0" applyNumberFormat="1" applyFont="1" applyBorder="1" applyAlignment="1"/>
    <xf numFmtId="10" fontId="53" fillId="0" borderId="17" xfId="3" applyNumberFormat="1" applyFont="1" applyBorder="1" applyAlignment="1">
      <alignment horizontal="left"/>
    </xf>
    <xf numFmtId="164" fontId="53" fillId="0" borderId="41" xfId="0" applyNumberFormat="1" applyFont="1" applyBorder="1" applyAlignment="1">
      <alignment horizontal="left"/>
    </xf>
    <xf numFmtId="0" fontId="52" fillId="0" borderId="42" xfId="0" applyFont="1" applyBorder="1" applyAlignment="1">
      <alignment horizontal="left"/>
    </xf>
    <xf numFmtId="172" fontId="53" fillId="0" borderId="13" xfId="2" applyNumberFormat="1" applyFont="1" applyBorder="1" applyAlignment="1">
      <alignment horizontal="left"/>
    </xf>
    <xf numFmtId="168" fontId="53" fillId="0" borderId="13" xfId="2" applyNumberFormat="1" applyFont="1" applyFill="1" applyBorder="1"/>
    <xf numFmtId="10" fontId="53" fillId="0" borderId="18" xfId="0" applyNumberFormat="1" applyFont="1" applyBorder="1" applyAlignment="1">
      <alignment horizontal="left"/>
    </xf>
    <xf numFmtId="0" fontId="0" fillId="0" borderId="0" xfId="0" applyAlignment="1">
      <alignment horizontal="left"/>
    </xf>
    <xf numFmtId="0" fontId="38" fillId="0" borderId="1" xfId="0" applyFont="1" applyBorder="1" applyAlignment="1">
      <alignment horizontal="center"/>
    </xf>
    <xf numFmtId="0" fontId="0" fillId="4" borderId="1" xfId="0" applyFill="1" applyBorder="1"/>
    <xf numFmtId="10" fontId="12" fillId="4" borderId="1" xfId="0" applyNumberFormat="1" applyFont="1" applyFill="1" applyBorder="1"/>
    <xf numFmtId="10" fontId="50" fillId="0" borderId="30" xfId="3" applyNumberFormat="1" applyFont="1" applyBorder="1" applyAlignment="1">
      <alignment horizontal="center"/>
    </xf>
    <xf numFmtId="10" fontId="0" fillId="0" borderId="0" xfId="0" applyNumberFormat="1"/>
    <xf numFmtId="44" fontId="3" fillId="4" borderId="1" xfId="2" applyFont="1" applyFill="1" applyBorder="1" applyAlignment="1">
      <alignment horizontal="center"/>
    </xf>
    <xf numFmtId="0" fontId="50" fillId="4" borderId="1" xfId="0" applyFont="1" applyFill="1" applyBorder="1"/>
    <xf numFmtId="0" fontId="54" fillId="0" borderId="43" xfId="0" applyFont="1" applyBorder="1" applyAlignment="1">
      <alignment vertical="center" wrapText="1"/>
    </xf>
    <xf numFmtId="0" fontId="55" fillId="0" borderId="0" xfId="0" applyFont="1"/>
    <xf numFmtId="44" fontId="55" fillId="0" borderId="0" xfId="0" applyNumberFormat="1" applyFont="1"/>
    <xf numFmtId="10" fontId="55" fillId="0" borderId="0" xfId="0" applyNumberFormat="1" applyFont="1"/>
    <xf numFmtId="44" fontId="0" fillId="0" borderId="0" xfId="0" applyNumberFormat="1"/>
    <xf numFmtId="44" fontId="43" fillId="0" borderId="0" xfId="0" applyNumberFormat="1" applyFont="1"/>
    <xf numFmtId="2" fontId="55" fillId="0" borderId="0" xfId="0" applyNumberFormat="1" applyFont="1"/>
    <xf numFmtId="44" fontId="55" fillId="0" borderId="0" xfId="2" applyFont="1"/>
    <xf numFmtId="10" fontId="55" fillId="0" borderId="0" xfId="3" applyNumberFormat="1" applyFont="1"/>
    <xf numFmtId="10" fontId="0" fillId="0" borderId="0" xfId="3" applyNumberFormat="1" applyFont="1"/>
    <xf numFmtId="169" fontId="0" fillId="0" borderId="0" xfId="0" applyNumberFormat="1"/>
    <xf numFmtId="0" fontId="44" fillId="0" borderId="1" xfId="0" applyFont="1" applyBorder="1"/>
    <xf numFmtId="0" fontId="42" fillId="0" borderId="1" xfId="0" applyFont="1" applyBorder="1" applyAlignment="1">
      <alignment horizontal="center"/>
    </xf>
    <xf numFmtId="0" fontId="44" fillId="0" borderId="13" xfId="0" applyFont="1" applyBorder="1" applyAlignment="1">
      <alignment horizontal="center"/>
    </xf>
    <xf numFmtId="0" fontId="44" fillId="0" borderId="1" xfId="0" applyFont="1" applyFill="1" applyBorder="1"/>
    <xf numFmtId="0" fontId="42" fillId="0" borderId="1" xfId="0" applyFont="1" applyBorder="1"/>
    <xf numFmtId="10" fontId="42" fillId="0" borderId="1" xfId="3" applyNumberFormat="1" applyFont="1" applyBorder="1" applyAlignment="1">
      <alignment horizontal="center"/>
    </xf>
    <xf numFmtId="10" fontId="42" fillId="0" borderId="1" xfId="3" applyNumberFormat="1" applyFont="1" applyBorder="1"/>
    <xf numFmtId="10" fontId="42" fillId="0" borderId="13" xfId="0" applyNumberFormat="1" applyFont="1" applyBorder="1" applyAlignment="1">
      <alignment horizontal="center"/>
    </xf>
    <xf numFmtId="0" fontId="42" fillId="0" borderId="1" xfId="0" applyFont="1" applyFill="1" applyBorder="1" applyAlignment="1">
      <alignment horizontal="center"/>
    </xf>
    <xf numFmtId="10" fontId="42" fillId="0" borderId="1" xfId="0" applyNumberFormat="1" applyFont="1" applyBorder="1"/>
    <xf numFmtId="10" fontId="56" fillId="0" borderId="13" xfId="3" applyNumberFormat="1" applyFont="1" applyBorder="1" applyAlignment="1">
      <alignment horizontal="center"/>
    </xf>
    <xf numFmtId="0" fontId="42" fillId="0" borderId="1" xfId="0" applyFont="1" applyFill="1" applyBorder="1"/>
    <xf numFmtId="0" fontId="57" fillId="0" borderId="51" xfId="0" applyFont="1" applyBorder="1" applyAlignment="1">
      <alignment horizontal="left"/>
    </xf>
    <xf numFmtId="0" fontId="57" fillId="0" borderId="1" xfId="0" applyFont="1" applyBorder="1" applyAlignment="1">
      <alignment horizontal="center"/>
    </xf>
    <xf numFmtId="10" fontId="57" fillId="0" borderId="1" xfId="0" applyNumberFormat="1" applyFont="1" applyBorder="1" applyAlignment="1">
      <alignment horizontal="center"/>
    </xf>
    <xf numFmtId="0" fontId="57" fillId="0" borderId="1" xfId="0" applyFont="1" applyBorder="1"/>
    <xf numFmtId="10" fontId="57" fillId="0" borderId="18" xfId="0" applyNumberFormat="1" applyFont="1" applyBorder="1" applyAlignment="1">
      <alignment horizontal="center"/>
    </xf>
    <xf numFmtId="0" fontId="56" fillId="0" borderId="51" xfId="0" applyFont="1" applyBorder="1" applyAlignment="1">
      <alignment horizontal="left"/>
    </xf>
    <xf numFmtId="10" fontId="42" fillId="0" borderId="13" xfId="3" applyNumberFormat="1" applyFont="1" applyBorder="1" applyAlignment="1">
      <alignment horizontal="center"/>
    </xf>
    <xf numFmtId="0" fontId="57" fillId="0" borderId="44" xfId="0" applyFont="1" applyBorder="1" applyAlignment="1">
      <alignment horizontal="center"/>
    </xf>
    <xf numFmtId="10" fontId="42" fillId="0" borderId="1" xfId="0" applyNumberFormat="1" applyFont="1" applyBorder="1" applyAlignment="1">
      <alignment horizontal="center"/>
    </xf>
    <xf numFmtId="0" fontId="57" fillId="0" borderId="0" xfId="0" applyFont="1" applyBorder="1"/>
    <xf numFmtId="0" fontId="42" fillId="0" borderId="51" xfId="0" applyFont="1" applyBorder="1"/>
    <xf numFmtId="0" fontId="56" fillId="0" borderId="1" xfId="0" applyFont="1" applyBorder="1" applyAlignment="1">
      <alignment horizontal="left"/>
    </xf>
    <xf numFmtId="0" fontId="57" fillId="0" borderId="1" xfId="0" applyFont="1" applyBorder="1" applyAlignment="1">
      <alignment horizontal="left"/>
    </xf>
    <xf numFmtId="10" fontId="57" fillId="0" borderId="13" xfId="0" applyNumberFormat="1" applyFont="1" applyBorder="1" applyAlignment="1">
      <alignment horizontal="center"/>
    </xf>
    <xf numFmtId="10" fontId="42" fillId="0" borderId="18" xfId="3" applyNumberFormat="1" applyFont="1" applyBorder="1"/>
    <xf numFmtId="10" fontId="42" fillId="0" borderId="18" xfId="0" applyNumberFormat="1" applyFont="1" applyBorder="1" applyAlignment="1">
      <alignment horizontal="center"/>
    </xf>
    <xf numFmtId="0" fontId="56" fillId="0" borderId="0" xfId="0" applyFont="1" applyBorder="1" applyAlignment="1">
      <alignment horizontal="left"/>
    </xf>
    <xf numFmtId="0" fontId="58" fillId="0" borderId="52" xfId="0" applyFont="1" applyBorder="1" applyAlignment="1">
      <alignment horizontal="left"/>
    </xf>
    <xf numFmtId="0" fontId="42" fillId="0" borderId="44" xfId="0" applyFont="1" applyBorder="1" applyAlignment="1">
      <alignment horizontal="center"/>
    </xf>
    <xf numFmtId="10" fontId="42" fillId="0" borderId="0" xfId="3" applyNumberFormat="1" applyFont="1" applyBorder="1"/>
    <xf numFmtId="10" fontId="42" fillId="0" borderId="0" xfId="0" applyNumberFormat="1" applyFont="1" applyBorder="1" applyAlignment="1">
      <alignment horizontal="center"/>
    </xf>
    <xf numFmtId="0" fontId="42" fillId="0" borderId="44" xfId="0" applyFont="1" applyBorder="1"/>
    <xf numFmtId="0" fontId="42" fillId="0" borderId="44" xfId="0" applyFont="1" applyFill="1" applyBorder="1" applyAlignment="1">
      <alignment horizontal="center"/>
    </xf>
    <xf numFmtId="10" fontId="42" fillId="0" borderId="0" xfId="0" applyNumberFormat="1" applyFont="1"/>
    <xf numFmtId="10" fontId="42" fillId="0" borderId="0" xfId="0" applyNumberFormat="1" applyFont="1" applyAlignment="1">
      <alignment horizontal="center"/>
    </xf>
    <xf numFmtId="0" fontId="42" fillId="0" borderId="0" xfId="0" applyFont="1" applyBorder="1"/>
    <xf numFmtId="0" fontId="42" fillId="0" borderId="0" xfId="0" applyFont="1"/>
    <xf numFmtId="0" fontId="2" fillId="0" borderId="1" xfId="0" applyFont="1" applyBorder="1" applyAlignment="1">
      <alignment horizontal="center"/>
    </xf>
    <xf numFmtId="2" fontId="0" fillId="0" borderId="0" xfId="0" applyNumberFormat="1"/>
    <xf numFmtId="0" fontId="0" fillId="0" borderId="0" xfId="0" applyAlignment="1">
      <alignment wrapText="1"/>
    </xf>
    <xf numFmtId="10" fontId="0" fillId="0" borderId="0" xfId="0" applyNumberFormat="1" applyAlignment="1">
      <alignment wrapText="1"/>
    </xf>
    <xf numFmtId="2" fontId="0" fillId="0" borderId="0" xfId="0" applyNumberFormat="1" applyAlignment="1">
      <alignment wrapText="1"/>
    </xf>
    <xf numFmtId="0" fontId="2" fillId="0" borderId="0" xfId="0" applyFont="1" applyAlignment="1">
      <alignment wrapText="1"/>
    </xf>
    <xf numFmtId="0" fontId="2" fillId="0" borderId="1" xfId="0" applyFont="1" applyBorder="1" applyAlignment="1">
      <alignment wrapText="1"/>
    </xf>
    <xf numFmtId="0" fontId="33" fillId="0" borderId="0" xfId="0" applyFont="1" applyAlignment="1">
      <alignment horizontal="left"/>
    </xf>
    <xf numFmtId="0" fontId="33" fillId="0" borderId="0" xfId="0" applyNumberFormat="1" applyFont="1"/>
    <xf numFmtId="10" fontId="33" fillId="0" borderId="0" xfId="0" applyNumberFormat="1" applyFont="1"/>
    <xf numFmtId="2" fontId="33" fillId="0" borderId="0" xfId="0" applyNumberFormat="1" applyFont="1"/>
    <xf numFmtId="10" fontId="0" fillId="4" borderId="1" xfId="0" applyNumberFormat="1" applyFill="1" applyBorder="1"/>
    <xf numFmtId="170" fontId="38" fillId="4" borderId="1" xfId="0" applyNumberFormat="1" applyFont="1" applyFill="1" applyBorder="1" applyAlignment="1">
      <alignment horizontal="right"/>
    </xf>
    <xf numFmtId="0" fontId="53" fillId="0" borderId="5" xfId="0" applyFont="1" applyBorder="1" applyAlignment="1">
      <alignment wrapText="1"/>
    </xf>
    <xf numFmtId="0" fontId="68" fillId="0" borderId="0" xfId="0" applyFont="1"/>
    <xf numFmtId="0" fontId="0" fillId="0" borderId="0" xfId="0" quotePrefix="1"/>
    <xf numFmtId="10" fontId="25" fillId="12" borderId="1" xfId="0" applyNumberFormat="1" applyFont="1" applyFill="1" applyBorder="1" applyAlignment="1">
      <alignment horizontal="center"/>
    </xf>
    <xf numFmtId="44" fontId="48" fillId="13" borderId="1" xfId="2" applyNumberFormat="1" applyFont="1" applyFill="1" applyBorder="1"/>
    <xf numFmtId="0" fontId="26" fillId="0" borderId="0" xfId="0" applyFont="1" applyFill="1" applyBorder="1" applyAlignment="1"/>
    <xf numFmtId="0" fontId="24" fillId="0" borderId="45" xfId="0" applyFont="1" applyBorder="1" applyAlignment="1">
      <alignment horizontal="center"/>
    </xf>
    <xf numFmtId="0" fontId="24" fillId="0" borderId="9" xfId="0" applyFont="1" applyBorder="1" applyAlignment="1">
      <alignment horizontal="center"/>
    </xf>
    <xf numFmtId="0" fontId="24" fillId="0" borderId="43" xfId="0" applyFont="1" applyBorder="1" applyAlignment="1">
      <alignment horizontal="center"/>
    </xf>
    <xf numFmtId="0" fontId="24" fillId="0" borderId="41" xfId="0" applyFont="1" applyBorder="1" applyAlignment="1">
      <alignment horizontal="center"/>
    </xf>
    <xf numFmtId="0" fontId="24" fillId="0" borderId="10" xfId="0" applyFont="1" applyFill="1" applyBorder="1" applyAlignment="1">
      <alignment horizontal="center"/>
    </xf>
    <xf numFmtId="0" fontId="24" fillId="0" borderId="6" xfId="0" applyFont="1" applyFill="1" applyBorder="1" applyAlignment="1">
      <alignment horizontal="center"/>
    </xf>
    <xf numFmtId="0" fontId="24" fillId="0" borderId="7" xfId="0" applyFont="1" applyFill="1" applyBorder="1" applyAlignment="1">
      <alignment horizontal="center"/>
    </xf>
    <xf numFmtId="0" fontId="53" fillId="0" borderId="22" xfId="0" applyFont="1" applyFill="1" applyBorder="1" applyAlignment="1">
      <alignment horizontal="left"/>
    </xf>
    <xf numFmtId="0" fontId="53" fillId="0" borderId="5" xfId="0" applyFont="1" applyFill="1" applyBorder="1" applyAlignment="1">
      <alignment horizontal="left"/>
    </xf>
    <xf numFmtId="0" fontId="53" fillId="0" borderId="18" xfId="0" applyFont="1" applyFill="1" applyBorder="1" applyAlignment="1">
      <alignment horizontal="left"/>
    </xf>
    <xf numFmtId="0" fontId="45" fillId="0" borderId="0" xfId="0" applyFont="1" applyBorder="1" applyAlignment="1">
      <alignment horizontal="center"/>
    </xf>
    <xf numFmtId="0" fontId="59" fillId="0" borderId="1" xfId="0" applyFont="1" applyBorder="1" applyAlignment="1">
      <alignment horizontal="center"/>
    </xf>
    <xf numFmtId="0" fontId="59" fillId="0" borderId="13" xfId="0" applyFont="1" applyBorder="1" applyAlignment="1">
      <alignment horizontal="center"/>
    </xf>
    <xf numFmtId="0" fontId="59" fillId="0" borderId="5" xfId="0" applyFont="1" applyBorder="1" applyAlignment="1">
      <alignment horizontal="center"/>
    </xf>
    <xf numFmtId="0" fontId="59" fillId="0" borderId="18" xfId="0" applyFont="1" applyBorder="1" applyAlignment="1">
      <alignment horizontal="center"/>
    </xf>
    <xf numFmtId="0" fontId="59" fillId="0" borderId="44" xfId="0" applyFont="1" applyFill="1" applyBorder="1" applyAlignment="1">
      <alignment horizontal="center"/>
    </xf>
    <xf numFmtId="0" fontId="59" fillId="0" borderId="44" xfId="0" applyFont="1" applyBorder="1" applyAlignment="1">
      <alignment horizontal="center"/>
    </xf>
    <xf numFmtId="0" fontId="53" fillId="0" borderId="46" xfId="0" applyFont="1" applyFill="1" applyBorder="1" applyAlignment="1">
      <alignment horizontal="left"/>
    </xf>
    <xf numFmtId="0" fontId="53" fillId="0" borderId="47" xfId="0" applyFont="1" applyFill="1" applyBorder="1" applyAlignment="1">
      <alignment horizontal="left"/>
    </xf>
    <xf numFmtId="0" fontId="53" fillId="0" borderId="48" xfId="0" applyFont="1" applyFill="1" applyBorder="1" applyAlignment="1">
      <alignment horizontal="left"/>
    </xf>
    <xf numFmtId="0" fontId="1" fillId="0" borderId="15" xfId="0" applyFont="1" applyBorder="1" applyAlignment="1">
      <alignment horizontal="left" vertical="top" wrapText="1"/>
    </xf>
    <xf numFmtId="0" fontId="59" fillId="0" borderId="16" xfId="0" applyFont="1" applyBorder="1" applyAlignment="1">
      <alignment horizontal="left" vertical="top" wrapText="1"/>
    </xf>
    <xf numFmtId="0" fontId="59" fillId="0" borderId="17" xfId="0" applyFont="1" applyBorder="1" applyAlignment="1">
      <alignment horizontal="left" vertical="top" wrapText="1"/>
    </xf>
    <xf numFmtId="0" fontId="59" fillId="0" borderId="20" xfId="0" applyFont="1" applyBorder="1" applyAlignment="1">
      <alignment horizontal="left" vertical="top" wrapText="1"/>
    </xf>
    <xf numFmtId="0" fontId="59" fillId="0" borderId="0" xfId="0" applyFont="1" applyBorder="1" applyAlignment="1">
      <alignment horizontal="left" vertical="top" wrapText="1"/>
    </xf>
    <xf numFmtId="0" fontId="59" fillId="0" borderId="21" xfId="0" applyFont="1" applyBorder="1" applyAlignment="1">
      <alignment horizontal="left" vertical="top" wrapText="1"/>
    </xf>
    <xf numFmtId="0" fontId="59" fillId="0" borderId="49" xfId="0" applyFont="1" applyBorder="1" applyAlignment="1">
      <alignment horizontal="left" vertical="top" wrapText="1"/>
    </xf>
    <xf numFmtId="0" fontId="59" fillId="0" borderId="50" xfId="0" applyFont="1" applyBorder="1" applyAlignment="1">
      <alignment horizontal="left" vertical="top" wrapText="1"/>
    </xf>
    <xf numFmtId="0" fontId="59" fillId="0" borderId="30" xfId="0" applyFont="1" applyBorder="1" applyAlignment="1">
      <alignment horizontal="left" vertical="top" wrapText="1"/>
    </xf>
    <xf numFmtId="0" fontId="60" fillId="0" borderId="15" xfId="0" applyFont="1" applyBorder="1" applyAlignment="1">
      <alignment horizontal="left" wrapText="1"/>
    </xf>
    <xf numFmtId="0" fontId="61" fillId="0" borderId="16" xfId="0" applyFont="1" applyBorder="1" applyAlignment="1">
      <alignment horizontal="left" wrapText="1"/>
    </xf>
    <xf numFmtId="0" fontId="61" fillId="0" borderId="17" xfId="0" applyFont="1" applyBorder="1" applyAlignment="1">
      <alignment horizontal="left" wrapText="1"/>
    </xf>
    <xf numFmtId="0" fontId="61" fillId="0" borderId="20" xfId="0" applyFont="1" applyBorder="1" applyAlignment="1">
      <alignment horizontal="left" wrapText="1"/>
    </xf>
    <xf numFmtId="0" fontId="61" fillId="0" borderId="0" xfId="0" applyFont="1" applyBorder="1" applyAlignment="1">
      <alignment horizontal="left" wrapText="1"/>
    </xf>
    <xf numFmtId="0" fontId="61" fillId="0" borderId="21" xfId="0" applyFont="1" applyBorder="1" applyAlignment="1">
      <alignment horizontal="left" wrapText="1"/>
    </xf>
    <xf numFmtId="0" fontId="61" fillId="0" borderId="49" xfId="0" applyFont="1" applyBorder="1" applyAlignment="1">
      <alignment horizontal="left" wrapText="1"/>
    </xf>
    <xf numFmtId="0" fontId="61" fillId="0" borderId="50" xfId="0" applyFont="1" applyBorder="1" applyAlignment="1">
      <alignment horizontal="left" wrapText="1"/>
    </xf>
    <xf numFmtId="0" fontId="61" fillId="0" borderId="30" xfId="0" applyFont="1" applyBorder="1" applyAlignment="1">
      <alignment horizontal="left" wrapText="1"/>
    </xf>
    <xf numFmtId="0" fontId="46" fillId="0" borderId="15" xfId="0" applyFont="1" applyBorder="1" applyAlignment="1">
      <alignment horizontal="left" vertical="center" wrapText="1"/>
    </xf>
    <xf numFmtId="0" fontId="46" fillId="0" borderId="16" xfId="0" applyFont="1" applyBorder="1" applyAlignment="1">
      <alignment horizontal="left" vertical="center" wrapText="1"/>
    </xf>
    <xf numFmtId="0" fontId="46" fillId="0" borderId="17" xfId="0" applyFont="1" applyBorder="1" applyAlignment="1">
      <alignment horizontal="left" vertical="center" wrapText="1"/>
    </xf>
    <xf numFmtId="0" fontId="46" fillId="0" borderId="20" xfId="0" applyFont="1" applyBorder="1" applyAlignment="1">
      <alignment horizontal="left" vertical="center" wrapText="1"/>
    </xf>
    <xf numFmtId="0" fontId="46" fillId="0" borderId="0" xfId="0" applyFont="1" applyBorder="1" applyAlignment="1">
      <alignment horizontal="left" vertical="center" wrapText="1"/>
    </xf>
    <xf numFmtId="0" fontId="46" fillId="0" borderId="21" xfId="0" applyFont="1" applyBorder="1" applyAlignment="1">
      <alignment horizontal="left" vertical="center" wrapText="1"/>
    </xf>
    <xf numFmtId="0" fontId="46" fillId="0" borderId="49" xfId="0" applyFont="1" applyBorder="1" applyAlignment="1">
      <alignment horizontal="left" vertical="center" wrapText="1"/>
    </xf>
    <xf numFmtId="0" fontId="46" fillId="0" borderId="50" xfId="0" applyFont="1" applyBorder="1" applyAlignment="1">
      <alignment horizontal="left" vertical="center" wrapText="1"/>
    </xf>
    <xf numFmtId="0" fontId="46" fillId="0" borderId="30" xfId="0" applyFont="1" applyBorder="1" applyAlignment="1">
      <alignment horizontal="left" vertical="center" wrapText="1"/>
    </xf>
    <xf numFmtId="0" fontId="62" fillId="0" borderId="15" xfId="0" applyFont="1" applyBorder="1" applyAlignment="1">
      <alignment horizontal="left" vertical="center" wrapText="1"/>
    </xf>
    <xf numFmtId="0" fontId="53" fillId="0" borderId="16" xfId="0" applyFont="1" applyBorder="1" applyAlignment="1">
      <alignment horizontal="left" vertical="center" wrapText="1"/>
    </xf>
    <xf numFmtId="0" fontId="53" fillId="0" borderId="17" xfId="0" applyFont="1" applyBorder="1" applyAlignment="1">
      <alignment horizontal="left" vertical="center" wrapText="1"/>
    </xf>
    <xf numFmtId="0" fontId="53" fillId="0" borderId="20" xfId="0" applyFont="1" applyBorder="1" applyAlignment="1">
      <alignment horizontal="left" vertical="center" wrapText="1"/>
    </xf>
    <xf numFmtId="0" fontId="53" fillId="0" borderId="0" xfId="0" applyFont="1" applyBorder="1" applyAlignment="1">
      <alignment horizontal="left" vertical="center" wrapText="1"/>
    </xf>
    <xf numFmtId="0" fontId="53" fillId="0" borderId="21" xfId="0" applyFont="1" applyBorder="1" applyAlignment="1">
      <alignment horizontal="left" vertical="center" wrapText="1"/>
    </xf>
    <xf numFmtId="0" fontId="53" fillId="0" borderId="49" xfId="0" applyFont="1" applyBorder="1" applyAlignment="1">
      <alignment horizontal="left" vertical="center" wrapText="1"/>
    </xf>
    <xf numFmtId="0" fontId="53" fillId="0" borderId="50" xfId="0" applyFont="1" applyBorder="1" applyAlignment="1">
      <alignment horizontal="left" vertical="center" wrapText="1"/>
    </xf>
    <xf numFmtId="0" fontId="53" fillId="0" borderId="30" xfId="0" applyFont="1" applyBorder="1" applyAlignment="1">
      <alignment horizontal="left" vertical="center" wrapText="1"/>
    </xf>
    <xf numFmtId="0" fontId="46" fillId="0" borderId="11" xfId="0" applyFont="1" applyBorder="1" applyAlignment="1">
      <alignment horizontal="left" vertical="center" wrapText="1"/>
    </xf>
    <xf numFmtId="0" fontId="46" fillId="0" borderId="0" xfId="0" applyFont="1" applyAlignment="1">
      <alignment horizontal="left" vertical="center" wrapText="1"/>
    </xf>
    <xf numFmtId="168" fontId="53" fillId="0" borderId="13" xfId="2" applyNumberFormat="1" applyFont="1" applyFill="1" applyBorder="1" applyAlignment="1">
      <alignment horizontal="right"/>
    </xf>
    <xf numFmtId="168" fontId="53" fillId="0" borderId="5" xfId="2" applyNumberFormat="1" applyFont="1" applyFill="1" applyBorder="1" applyAlignment="1">
      <alignment horizontal="right"/>
    </xf>
    <xf numFmtId="0" fontId="53" fillId="0" borderId="36" xfId="0" applyFont="1" applyBorder="1" applyAlignment="1">
      <alignment horizontal="left"/>
    </xf>
    <xf numFmtId="0" fontId="53" fillId="0" borderId="1" xfId="0" applyFont="1" applyBorder="1" applyAlignment="1">
      <alignment horizontal="left"/>
    </xf>
    <xf numFmtId="0" fontId="53" fillId="0" borderId="37" xfId="0" applyFont="1" applyBorder="1" applyAlignment="1">
      <alignment horizontal="left"/>
    </xf>
    <xf numFmtId="0" fontId="53" fillId="0" borderId="25" xfId="0" applyFont="1" applyBorder="1" applyAlignment="1">
      <alignment horizontal="left"/>
    </xf>
    <xf numFmtId="0" fontId="53" fillId="0" borderId="45" xfId="0" applyFont="1" applyBorder="1" applyAlignment="1">
      <alignment horizontal="right"/>
    </xf>
    <xf numFmtId="0" fontId="53" fillId="0" borderId="43" xfId="0" applyFont="1" applyBorder="1" applyAlignment="1">
      <alignment horizontal="right"/>
    </xf>
    <xf numFmtId="10" fontId="63" fillId="0" borderId="45" xfId="0" applyNumberFormat="1" applyFont="1" applyBorder="1" applyAlignment="1">
      <alignment horizontal="center"/>
    </xf>
    <xf numFmtId="10" fontId="63" fillId="0" borderId="41" xfId="0" applyNumberFormat="1" applyFont="1" applyBorder="1" applyAlignment="1">
      <alignment horizontal="center"/>
    </xf>
    <xf numFmtId="0" fontId="12" fillId="11" borderId="0" xfId="0" applyFont="1" applyFill="1" applyAlignment="1">
      <alignment horizontal="center" vertical="center" wrapText="1"/>
    </xf>
    <xf numFmtId="164" fontId="0" fillId="0" borderId="20" xfId="0" applyNumberFormat="1" applyBorder="1" applyAlignment="1">
      <alignment horizontal="center" vertical="center" wrapText="1"/>
    </xf>
  </cellXfs>
  <cellStyles count="4">
    <cellStyle name="Comma" xfId="1" builtinId="3"/>
    <cellStyle name="Currency" xfId="2" builtinId="4"/>
    <cellStyle name="Normal" xfId="0" builtinId="0"/>
    <cellStyle name="Percent" xfId="3" builtinId="5"/>
  </cellStyles>
  <dxfs count="1">
    <dxf>
      <border>
        <left/>
        <right/>
        <top/>
        <bottom/>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13</xdr:col>
      <xdr:colOff>60960</xdr:colOff>
      <xdr:row>0</xdr:row>
      <xdr:rowOff>73660</xdr:rowOff>
    </xdr:from>
    <xdr:ext cx="2215478" cy="609013"/>
    <xdr:sp macro="" textlink="">
      <xdr:nvSpPr>
        <xdr:cNvPr id="3" name="TextBox 2">
          <a:extLst>
            <a:ext uri="{FF2B5EF4-FFF2-40B4-BE49-F238E27FC236}">
              <a16:creationId xmlns:a16="http://schemas.microsoft.com/office/drawing/2014/main" id="{654E3889-7BCD-BA49-B216-E89EC2C08316}"/>
            </a:ext>
          </a:extLst>
        </xdr:cNvPr>
        <xdr:cNvSpPr txBox="1"/>
      </xdr:nvSpPr>
      <xdr:spPr>
        <a:xfrm>
          <a:off x="14986000" y="73660"/>
          <a:ext cx="221547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Check these revenues against</a:t>
          </a:r>
        </a:p>
        <a:p>
          <a:r>
            <a:rPr lang="en-US" sz="1100">
              <a:solidFill>
                <a:srgbClr val="FF0000"/>
              </a:solidFill>
            </a:rPr>
            <a:t>a.</a:t>
          </a:r>
          <a:r>
            <a:rPr lang="en-US" sz="1100" baseline="0">
              <a:solidFill>
                <a:srgbClr val="FF0000"/>
              </a:solidFill>
            </a:rPr>
            <a:t> Overall market size</a:t>
          </a:r>
        </a:p>
        <a:p>
          <a:r>
            <a:rPr lang="en-US" sz="1100" baseline="0">
              <a:solidFill>
                <a:srgbClr val="FF0000"/>
              </a:solidFill>
            </a:rPr>
            <a:t>b. Largest companies in this market</a:t>
          </a:r>
          <a:endParaRPr lang="en-US" sz="1100">
            <a:solidFill>
              <a:srgbClr val="FF0000"/>
            </a:solidFill>
          </a:endParaRPr>
        </a:p>
      </xdr:txBody>
    </xdr:sp>
    <xdr:clientData/>
  </xdr:oneCellAnchor>
  <xdr:oneCellAnchor>
    <xdr:from>
      <xdr:col>11</xdr:col>
      <xdr:colOff>40640</xdr:colOff>
      <xdr:row>41</xdr:row>
      <xdr:rowOff>40640</xdr:rowOff>
    </xdr:from>
    <xdr:ext cx="4613106" cy="780592"/>
    <xdr:sp macro="" textlink="">
      <xdr:nvSpPr>
        <xdr:cNvPr id="4" name="TextBox 3">
          <a:extLst>
            <a:ext uri="{FF2B5EF4-FFF2-40B4-BE49-F238E27FC236}">
              <a16:creationId xmlns:a16="http://schemas.microsoft.com/office/drawing/2014/main" id="{14E0EEE6-A169-7F47-9D62-27987AA2FE40}"/>
            </a:ext>
          </a:extLst>
        </xdr:cNvPr>
        <xdr:cNvSpPr txBox="1"/>
      </xdr:nvSpPr>
      <xdr:spPr>
        <a:xfrm>
          <a:off x="12771120" y="7538720"/>
          <a:ext cx="4613106" cy="7694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Compare this return on capital</a:t>
          </a:r>
          <a:r>
            <a:rPr lang="en-US" sz="1100" baseline="0">
              <a:solidFill>
                <a:srgbClr val="FF0000"/>
              </a:solidFill>
            </a:rPr>
            <a:t> in year 10 against</a:t>
          </a:r>
        </a:p>
        <a:p>
          <a:r>
            <a:rPr lang="en-US" sz="1100" baseline="0">
              <a:solidFill>
                <a:srgbClr val="FF0000"/>
              </a:solidFill>
            </a:rPr>
            <a:t>a.  the industry average(column E of worksheet)</a:t>
          </a:r>
        </a:p>
        <a:p>
          <a:r>
            <a:rPr lang="en-US" sz="1100" baseline="0">
              <a:solidFill>
                <a:srgbClr val="FF0000"/>
              </a:solidFill>
            </a:rPr>
            <a:t>b. the return on capital after year 10</a:t>
          </a:r>
        </a:p>
        <a:p>
          <a:r>
            <a:rPr lang="en-US" sz="1100" baseline="0">
              <a:solidFill>
                <a:srgbClr val="FF0000"/>
              </a:solidFill>
            </a:rPr>
            <a:t>If it is too high (low), you may want to lower  (raise) your sales to capital ratio</a:t>
          </a:r>
          <a:endParaRPr lang="en-US" sz="1100">
            <a:solidFill>
              <a:srgbClr val="FF0000"/>
            </a:solidFill>
          </a:endParaRPr>
        </a:p>
      </xdr:txBody>
    </xdr:sp>
    <xdr:clientData/>
  </xdr:oneCellAnchor>
  <xdr:oneCellAnchor>
    <xdr:from>
      <xdr:col>14</xdr:col>
      <xdr:colOff>30480</xdr:colOff>
      <xdr:row>6</xdr:row>
      <xdr:rowOff>144780</xdr:rowOff>
    </xdr:from>
    <xdr:ext cx="2133600" cy="436786"/>
    <xdr:sp macro="" textlink="">
      <xdr:nvSpPr>
        <xdr:cNvPr id="2" name="TextBox 1">
          <a:extLst>
            <a:ext uri="{FF2B5EF4-FFF2-40B4-BE49-F238E27FC236}">
              <a16:creationId xmlns:a16="http://schemas.microsoft.com/office/drawing/2014/main" id="{73B21E18-105F-6841-8D9F-C616AB00290E}"/>
            </a:ext>
          </a:extLst>
        </xdr:cNvPr>
        <xdr:cNvSpPr txBox="1"/>
      </xdr:nvSpPr>
      <xdr:spPr>
        <a:xfrm>
          <a:off x="15920720" y="1363980"/>
          <a:ext cx="21336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how much capital you invested over the</a:t>
          </a:r>
          <a:r>
            <a:rPr lang="en-US" sz="1100" baseline="0">
              <a:solidFill>
                <a:srgbClr val="FF0000"/>
              </a:solidFill>
            </a:rPr>
            <a:t> ten year period. </a:t>
          </a:r>
          <a:endParaRPr lang="en-US" sz="1100">
            <a:solidFill>
              <a:srgbClr val="FF0000"/>
            </a:solidFill>
          </a:endParaRPr>
        </a:p>
      </xdr:txBody>
    </xdr:sp>
    <xdr:clientData/>
  </xdr:oneCellAnchor>
  <xdr:oneCellAnchor>
    <xdr:from>
      <xdr:col>14</xdr:col>
      <xdr:colOff>10160</xdr:colOff>
      <xdr:row>3</xdr:row>
      <xdr:rowOff>144780</xdr:rowOff>
    </xdr:from>
    <xdr:ext cx="2895600" cy="436786"/>
    <xdr:sp macro="" textlink="">
      <xdr:nvSpPr>
        <xdr:cNvPr id="5" name="TextBox 4">
          <a:extLst>
            <a:ext uri="{FF2B5EF4-FFF2-40B4-BE49-F238E27FC236}">
              <a16:creationId xmlns:a16="http://schemas.microsoft.com/office/drawing/2014/main" id="{6892C059-F376-9D4B-9077-CBF4CF8D9DA3}"/>
            </a:ext>
          </a:extLst>
        </xdr:cNvPr>
        <xdr:cNvSpPr txBox="1"/>
      </xdr:nvSpPr>
      <xdr:spPr>
        <a:xfrm>
          <a:off x="15900400" y="754380"/>
          <a:ext cx="28956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is how much your</a:t>
          </a:r>
          <a:r>
            <a:rPr lang="en-US" sz="1100" baseline="0">
              <a:solidFill>
                <a:srgbClr val="FF0000"/>
              </a:solidFill>
            </a:rPr>
            <a:t> operating income grew over the ten-year period.</a:t>
          </a:r>
          <a:endParaRPr lang="en-US" sz="1100">
            <a:solidFill>
              <a:srgbClr val="FF0000"/>
            </a:solidFill>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xdr:col>
      <xdr:colOff>1054100</xdr:colOff>
      <xdr:row>9</xdr:row>
      <xdr:rowOff>88900</xdr:rowOff>
    </xdr:from>
    <xdr:to>
      <xdr:col>3</xdr:col>
      <xdr:colOff>381000</xdr:colOff>
      <xdr:row>9</xdr:row>
      <xdr:rowOff>88900</xdr:rowOff>
    </xdr:to>
    <xdr:cxnSp macro="">
      <xdr:nvCxnSpPr>
        <xdr:cNvPr id="113986" name="Straight Arrow Connector 4" descr="a34003ff-f833-4472-933c-eefd440044a9">
          <a:extLst>
            <a:ext uri="{FF2B5EF4-FFF2-40B4-BE49-F238E27FC236}">
              <a16:creationId xmlns:a16="http://schemas.microsoft.com/office/drawing/2014/main" id="{F3C3383D-3E60-1B4D-B22C-2AACA0377D06}"/>
            </a:ext>
          </a:extLst>
        </xdr:cNvPr>
        <xdr:cNvCxnSpPr>
          <a:cxnSpLocks noChangeShapeType="1"/>
        </xdr:cNvCxnSpPr>
      </xdr:nvCxnSpPr>
      <xdr:spPr bwMode="auto">
        <a:xfrm>
          <a:off x="3581400" y="1816100"/>
          <a:ext cx="673100" cy="0"/>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1066800</xdr:colOff>
      <xdr:row>10</xdr:row>
      <xdr:rowOff>101600</xdr:rowOff>
    </xdr:from>
    <xdr:to>
      <xdr:col>3</xdr:col>
      <xdr:colOff>381000</xdr:colOff>
      <xdr:row>10</xdr:row>
      <xdr:rowOff>101600</xdr:rowOff>
    </xdr:to>
    <xdr:cxnSp macro="">
      <xdr:nvCxnSpPr>
        <xdr:cNvPr id="113987" name="Straight Arrow Connector 6" descr="a70bb248-258f-478f-a70e-43d3d6e65666">
          <a:extLst>
            <a:ext uri="{FF2B5EF4-FFF2-40B4-BE49-F238E27FC236}">
              <a16:creationId xmlns:a16="http://schemas.microsoft.com/office/drawing/2014/main" id="{584B2669-8A3D-9A4E-93B2-3A47929E3B44}"/>
            </a:ext>
          </a:extLst>
        </xdr:cNvPr>
        <xdr:cNvCxnSpPr>
          <a:cxnSpLocks noChangeShapeType="1"/>
        </xdr:cNvCxnSpPr>
      </xdr:nvCxnSpPr>
      <xdr:spPr bwMode="auto">
        <a:xfrm>
          <a:off x="3594100" y="2032000"/>
          <a:ext cx="660400" cy="0"/>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1066800</xdr:colOff>
      <xdr:row>13</xdr:row>
      <xdr:rowOff>76200</xdr:rowOff>
    </xdr:from>
    <xdr:to>
      <xdr:col>3</xdr:col>
      <xdr:colOff>381000</xdr:colOff>
      <xdr:row>13</xdr:row>
      <xdr:rowOff>76200</xdr:rowOff>
    </xdr:to>
    <xdr:cxnSp macro="">
      <xdr:nvCxnSpPr>
        <xdr:cNvPr id="113988" name="Straight Arrow Connector 10" descr="34d557a7-21e2-461f-8a90-af3e273b2327">
          <a:extLst>
            <a:ext uri="{FF2B5EF4-FFF2-40B4-BE49-F238E27FC236}">
              <a16:creationId xmlns:a16="http://schemas.microsoft.com/office/drawing/2014/main" id="{8F4CF655-09CE-D947-A831-959347E2301E}"/>
            </a:ext>
          </a:extLst>
        </xdr:cNvPr>
        <xdr:cNvCxnSpPr>
          <a:cxnSpLocks noChangeShapeType="1"/>
        </xdr:cNvCxnSpPr>
      </xdr:nvCxnSpPr>
      <xdr:spPr bwMode="auto">
        <a:xfrm>
          <a:off x="3594100" y="2616200"/>
          <a:ext cx="660400" cy="0"/>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990600</xdr:colOff>
      <xdr:row>8</xdr:row>
      <xdr:rowOff>101600</xdr:rowOff>
    </xdr:from>
    <xdr:to>
      <xdr:col>3</xdr:col>
      <xdr:colOff>317500</xdr:colOff>
      <xdr:row>8</xdr:row>
      <xdr:rowOff>101600</xdr:rowOff>
    </xdr:to>
    <xdr:cxnSp macro="">
      <xdr:nvCxnSpPr>
        <xdr:cNvPr id="113989" name="Straight Arrow Connector 4" descr="dbc7c463-c220-499e-b809-fbe50f8013a0">
          <a:extLst>
            <a:ext uri="{FF2B5EF4-FFF2-40B4-BE49-F238E27FC236}">
              <a16:creationId xmlns:a16="http://schemas.microsoft.com/office/drawing/2014/main" id="{DBD8894E-2AE1-AD48-BBEC-C22585D3F148}"/>
            </a:ext>
          </a:extLst>
        </xdr:cNvPr>
        <xdr:cNvCxnSpPr>
          <a:cxnSpLocks noChangeShapeType="1"/>
        </xdr:cNvCxnSpPr>
      </xdr:nvCxnSpPr>
      <xdr:spPr bwMode="auto">
        <a:xfrm>
          <a:off x="3517900" y="1625600"/>
          <a:ext cx="673100" cy="0"/>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1"/>
  <sheetViews>
    <sheetView workbookViewId="0"/>
  </sheetViews>
  <sheetFormatPr baseColWidth="10" defaultColWidth="8.83203125" defaultRowHeight="12"/>
  <cols>
    <col min="1" max="3" width="36.6640625" customWidth="1"/>
  </cols>
  <sheetData>
    <row r="1" spans="1:3">
      <c r="A1" s="393" t="s">
        <v>769</v>
      </c>
    </row>
    <row r="3" spans="1:3">
      <c r="A3" t="s">
        <v>770</v>
      </c>
      <c r="B3" t="s">
        <v>771</v>
      </c>
      <c r="C3">
        <v>0</v>
      </c>
    </row>
    <row r="4" spans="1:3">
      <c r="A4" t="s">
        <v>772</v>
      </c>
    </row>
    <row r="5" spans="1:3">
      <c r="A5" t="s">
        <v>773</v>
      </c>
    </row>
    <row r="7" spans="1:3">
      <c r="A7" s="393" t="s">
        <v>774</v>
      </c>
      <c r="B7" t="s">
        <v>775</v>
      </c>
    </row>
    <row r="8" spans="1:3">
      <c r="B8">
        <v>3</v>
      </c>
    </row>
    <row r="10" spans="1:3">
      <c r="A10" t="s">
        <v>776</v>
      </c>
    </row>
    <row r="11" spans="1:3">
      <c r="A11" t="e">
        <f>CB_DATA_!#REF!</f>
        <v>#REF!</v>
      </c>
      <c r="B11" t="e">
        <f>'Input sheet'!#REF!</f>
        <v>#REF!</v>
      </c>
      <c r="C11" t="e">
        <f>'Valuation output'!#REF!</f>
        <v>#REF!</v>
      </c>
    </row>
    <row r="13" spans="1:3">
      <c r="A13" t="s">
        <v>777</v>
      </c>
    </row>
    <row r="14" spans="1:3">
      <c r="A14" t="s">
        <v>781</v>
      </c>
      <c r="B14" t="s">
        <v>785</v>
      </c>
      <c r="C14" t="s">
        <v>788</v>
      </c>
    </row>
    <row r="16" spans="1:3">
      <c r="A16" t="s">
        <v>778</v>
      </c>
    </row>
    <row r="19" spans="1:3">
      <c r="A19" t="s">
        <v>779</v>
      </c>
    </row>
    <row r="20" spans="1:3">
      <c r="A20">
        <v>28</v>
      </c>
      <c r="B20">
        <v>31</v>
      </c>
      <c r="C20">
        <v>31</v>
      </c>
    </row>
    <row r="25" spans="1:3">
      <c r="A25" s="393" t="s">
        <v>780</v>
      </c>
    </row>
    <row r="26" spans="1:3">
      <c r="A26" s="394" t="s">
        <v>782</v>
      </c>
      <c r="B26" s="394" t="s">
        <v>786</v>
      </c>
      <c r="C26" s="394" t="s">
        <v>786</v>
      </c>
    </row>
    <row r="27" spans="1:3">
      <c r="A27" t="s">
        <v>783</v>
      </c>
      <c r="B27" t="s">
        <v>790</v>
      </c>
      <c r="C27" t="s">
        <v>791</v>
      </c>
    </row>
    <row r="28" spans="1:3">
      <c r="A28" s="394" t="s">
        <v>784</v>
      </c>
      <c r="B28" s="394" t="s">
        <v>784</v>
      </c>
      <c r="C28" s="394" t="s">
        <v>784</v>
      </c>
    </row>
    <row r="29" spans="1:3">
      <c r="B29" s="394" t="s">
        <v>782</v>
      </c>
      <c r="C29" s="394" t="s">
        <v>782</v>
      </c>
    </row>
    <row r="30" spans="1:3">
      <c r="B30" t="s">
        <v>787</v>
      </c>
      <c r="C30" t="s">
        <v>789</v>
      </c>
    </row>
    <row r="31" spans="1:3">
      <c r="B31" s="394" t="s">
        <v>784</v>
      </c>
      <c r="C31" s="394" t="s">
        <v>784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62"/>
  <sheetViews>
    <sheetView topLeftCell="A2" workbookViewId="0">
      <selection activeCell="R61" sqref="R61"/>
    </sheetView>
  </sheetViews>
  <sheetFormatPr baseColWidth="10" defaultColWidth="11.5" defaultRowHeight="12"/>
  <cols>
    <col min="1" max="1" width="40.1640625" bestFit="1" customWidth="1"/>
    <col min="2" max="2" width="17.33203125" bestFit="1" customWidth="1"/>
    <col min="7" max="7" width="19.5" bestFit="1" customWidth="1"/>
    <col min="8" max="8" width="16.33203125" customWidth="1"/>
    <col min="11" max="11" width="18.1640625" bestFit="1" customWidth="1"/>
  </cols>
  <sheetData>
    <row r="1" spans="1:17" s="111" customFormat="1" ht="19">
      <c r="A1" s="111" t="s">
        <v>183</v>
      </c>
      <c r="B1" s="245"/>
      <c r="C1" s="237"/>
      <c r="G1" s="128" t="s">
        <v>606</v>
      </c>
    </row>
    <row r="2" spans="1:17" s="14" customFormat="1" ht="15" customHeight="1">
      <c r="A2" s="14" t="s">
        <v>6</v>
      </c>
      <c r="B2" s="244"/>
      <c r="C2" s="237"/>
      <c r="G2" s="163" t="s">
        <v>354</v>
      </c>
      <c r="H2" s="163" t="s">
        <v>11</v>
      </c>
      <c r="I2" s="163" t="s">
        <v>381</v>
      </c>
      <c r="J2" s="163" t="s">
        <v>383</v>
      </c>
      <c r="K2" s="163" t="s">
        <v>382</v>
      </c>
    </row>
    <row r="3" spans="1:17" s="8" customFormat="1" ht="15" customHeight="1">
      <c r="A3" s="112" t="s">
        <v>184</v>
      </c>
      <c r="B3" s="113"/>
      <c r="G3" s="161" t="s">
        <v>380</v>
      </c>
      <c r="H3" s="161">
        <v>120486</v>
      </c>
      <c r="I3" s="122">
        <f>IF(H3=0,0,VLOOKUP(G3,'Country equity risk premiums'!$A$2:$D$187,4))</f>
        <v>5.0799999999999998E-2</v>
      </c>
      <c r="J3" s="122">
        <f t="shared" ref="J3:J10" si="0">IF(H3&gt;0,H3/$H$16,)</f>
        <v>0.67739759144524525</v>
      </c>
      <c r="K3" s="122">
        <f t="shared" ref="K3:K10" si="1">IF(J3=0,0,I3*J3)</f>
        <v>3.4411797645418456E-2</v>
      </c>
      <c r="M3" s="466" t="s">
        <v>662</v>
      </c>
      <c r="N3" s="466"/>
      <c r="O3" s="466"/>
      <c r="P3" s="466"/>
      <c r="Q3" s="466"/>
    </row>
    <row r="4" spans="1:17" s="8" customFormat="1" ht="15" customHeight="1">
      <c r="A4" s="113" t="s">
        <v>185</v>
      </c>
      <c r="B4" s="119">
        <f>'Input sheet'!B18</f>
        <v>497</v>
      </c>
      <c r="G4" s="229" t="s">
        <v>287</v>
      </c>
      <c r="H4" s="161">
        <v>16951</v>
      </c>
      <c r="I4" s="122">
        <f>IF(H4=0,0,VLOOKUP(G4,'Country equity risk premiums'!$A$2:$D$187,4))</f>
        <v>5.0799999999999998E-2</v>
      </c>
      <c r="J4" s="122">
        <f t="shared" si="0"/>
        <v>9.5302081342133971E-2</v>
      </c>
      <c r="K4" s="122">
        <f t="shared" si="1"/>
        <v>4.8413457321804052E-3</v>
      </c>
      <c r="M4" s="466"/>
      <c r="N4" s="466"/>
      <c r="O4" s="466"/>
      <c r="P4" s="466"/>
      <c r="Q4" s="466"/>
    </row>
    <row r="5" spans="1:17" s="8" customFormat="1" ht="15" customHeight="1">
      <c r="A5" s="113" t="s">
        <v>186</v>
      </c>
      <c r="B5" s="120">
        <f>'Input sheet'!B19</f>
        <v>1970.19</v>
      </c>
      <c r="G5" s="229" t="s">
        <v>348</v>
      </c>
      <c r="H5" s="161">
        <v>11372</v>
      </c>
      <c r="I5" s="122">
        <f>IF(H5=0,0,VLOOKUP(G5,'Country equity risk premiums'!$A$2:$D$187,4))</f>
        <v>5.6520148206016904E-2</v>
      </c>
      <c r="J5" s="122">
        <f t="shared" si="0"/>
        <v>6.3935771873207925E-2</v>
      </c>
      <c r="K5" s="122">
        <f t="shared" si="1"/>
        <v>3.6136593019397991E-3</v>
      </c>
      <c r="M5" s="466"/>
      <c r="N5" s="466"/>
      <c r="O5" s="466"/>
      <c r="P5" s="466"/>
      <c r="Q5" s="466"/>
    </row>
    <row r="6" spans="1:17" s="8" customFormat="1" ht="15" customHeight="1">
      <c r="B6" s="115"/>
      <c r="G6" s="229" t="s">
        <v>301</v>
      </c>
      <c r="H6" s="161">
        <v>11907</v>
      </c>
      <c r="I6" s="122">
        <f>IF(H6=0,0,VLOOKUP(G6,'Country equity risk premiums'!$A$2:$D$187,4))</f>
        <v>5.8912210183078517E-2</v>
      </c>
      <c r="J6" s="122">
        <f t="shared" si="0"/>
        <v>6.6943654211597495E-2</v>
      </c>
      <c r="K6" s="122">
        <f t="shared" si="1"/>
        <v>3.9437986273369611E-3</v>
      </c>
      <c r="M6" s="466"/>
      <c r="N6" s="466"/>
      <c r="O6" s="466"/>
      <c r="P6" s="466"/>
      <c r="Q6" s="466"/>
    </row>
    <row r="7" spans="1:17" s="8" customFormat="1" ht="15" customHeight="1">
      <c r="A7" s="8" t="s">
        <v>477</v>
      </c>
      <c r="B7" s="229" t="s">
        <v>482</v>
      </c>
      <c r="G7" s="229"/>
      <c r="H7" s="173"/>
      <c r="I7" s="122">
        <f>IF(H7=0,0,VLOOKUP(G7,'Country equity risk premiums'!$A$2:$D$187,4))</f>
        <v>0</v>
      </c>
      <c r="J7" s="122">
        <f t="shared" si="0"/>
        <v>0</v>
      </c>
      <c r="K7" s="122">
        <f t="shared" si="1"/>
        <v>0</v>
      </c>
      <c r="M7" s="466"/>
      <c r="N7" s="466"/>
      <c r="O7" s="466"/>
      <c r="P7" s="466"/>
      <c r="Q7" s="466"/>
    </row>
    <row r="8" spans="1:17" s="8" customFormat="1" ht="15" customHeight="1">
      <c r="A8" s="8" t="s">
        <v>479</v>
      </c>
      <c r="B8" s="238">
        <v>1.2</v>
      </c>
      <c r="G8" s="229"/>
      <c r="H8" s="161"/>
      <c r="I8" s="122">
        <f>IF(H8=0,0,VLOOKUP(G8,'Country equity risk premiums'!$A$2:$D$187,4))</f>
        <v>0</v>
      </c>
      <c r="J8" s="122">
        <f t="shared" si="0"/>
        <v>0</v>
      </c>
      <c r="K8" s="122">
        <f t="shared" si="1"/>
        <v>0</v>
      </c>
      <c r="M8" s="466"/>
      <c r="N8" s="466"/>
      <c r="O8" s="466"/>
      <c r="P8" s="466"/>
      <c r="Q8" s="466"/>
    </row>
    <row r="9" spans="1:17" s="8" customFormat="1" ht="15" customHeight="1">
      <c r="A9" s="8" t="s">
        <v>211</v>
      </c>
      <c r="B9" s="166">
        <f>IF(B7="Single Business(US)",VLOOKUP('Input sheet'!B6,'Industry Averages(US)'!A2:G95,7),IF(B7="Multibusiness(US)",K46,IF(B7="Single Business(Global)",VLOOKUP('Input sheet'!B7,'Global industry averages'!A2:G95,7),'Cost of capital worksheet'!K62)))</f>
        <v>0.95093933946275877</v>
      </c>
      <c r="G9" s="229"/>
      <c r="H9" s="161"/>
      <c r="I9" s="122">
        <f>IF(H9=0,0,VLOOKUP(G9,'Country equity risk premiums'!$A$2:$D$187,4))</f>
        <v>0</v>
      </c>
      <c r="J9" s="122">
        <f t="shared" si="0"/>
        <v>0</v>
      </c>
      <c r="K9" s="122">
        <f t="shared" si="1"/>
        <v>0</v>
      </c>
      <c r="M9" s="466"/>
      <c r="N9" s="466"/>
      <c r="O9" s="466"/>
      <c r="P9" s="466"/>
      <c r="Q9" s="466"/>
    </row>
    <row r="10" spans="1:17" s="8" customFormat="1" ht="15" customHeight="1">
      <c r="A10" s="8" t="s">
        <v>187</v>
      </c>
      <c r="B10" s="124">
        <f>'Input sheet'!B28</f>
        <v>0.03</v>
      </c>
      <c r="G10" s="229"/>
      <c r="H10" s="161"/>
      <c r="I10" s="122">
        <f>IF(H10=0,0,VLOOKUP(G10,'Country equity risk premiums'!$A$2:$D$187,4))</f>
        <v>0</v>
      </c>
      <c r="J10" s="122">
        <f t="shared" si="0"/>
        <v>0</v>
      </c>
      <c r="K10" s="122">
        <f t="shared" si="1"/>
        <v>0</v>
      </c>
      <c r="M10" s="466"/>
      <c r="N10" s="466"/>
      <c r="O10" s="466"/>
      <c r="P10" s="466"/>
      <c r="Q10" s="466"/>
    </row>
    <row r="11" spans="1:17" s="8" customFormat="1" ht="15" customHeight="1">
      <c r="A11" s="8" t="s">
        <v>443</v>
      </c>
      <c r="B11" s="230" t="s">
        <v>446</v>
      </c>
      <c r="G11" s="229"/>
      <c r="H11" s="161"/>
      <c r="I11" s="122">
        <f>IF(H11=0,0,VLOOKUP(G11,'Country equity risk premiums'!$A$2:$D$187,4))</f>
        <v>0</v>
      </c>
      <c r="J11" s="122">
        <f>IF(H11&gt;0,H11/$H$16,)</f>
        <v>0</v>
      </c>
      <c r="K11" s="122">
        <f>IF(J11=0,0,I11*J11)</f>
        <v>0</v>
      </c>
      <c r="M11" s="466"/>
      <c r="N11" s="466"/>
      <c r="O11" s="466"/>
      <c r="P11" s="466"/>
      <c r="Q11" s="466"/>
    </row>
    <row r="12" spans="1:17" s="8" customFormat="1" ht="15" customHeight="1">
      <c r="A12" s="8" t="s">
        <v>449</v>
      </c>
      <c r="B12" s="230">
        <v>0.05</v>
      </c>
      <c r="G12" s="229"/>
      <c r="H12" s="229"/>
      <c r="I12" s="122">
        <f>IF(H12=0,0,VLOOKUP(G12,'Country equity risk premiums'!$A$2:$D$187,4))</f>
        <v>0</v>
      </c>
      <c r="J12" s="122">
        <f>IF(H12&gt;0,H12/$H$16,)</f>
        <v>0</v>
      </c>
      <c r="K12" s="122">
        <f>IF(J12=0,0,I12*J12)</f>
        <v>0</v>
      </c>
      <c r="M12" s="466"/>
      <c r="N12" s="466"/>
      <c r="O12" s="466"/>
      <c r="P12" s="466"/>
      <c r="Q12" s="466"/>
    </row>
    <row r="13" spans="1:17" s="8" customFormat="1" ht="15" customHeight="1">
      <c r="A13" s="8" t="s">
        <v>450</v>
      </c>
      <c r="B13" s="232">
        <f>IF(B11="Will Input",B12,IF(B11="Country of Incorporation",VLOOKUP('Input sheet'!B5,'Country equity risk premiums'!A2:E187,4),IF(B11="Operating regions",'Cost of capital worksheet'!K30,'Cost of capital worksheet'!K16)))</f>
        <v>5.279833926691295E-2</v>
      </c>
      <c r="G13" s="229"/>
      <c r="H13" s="229"/>
      <c r="I13" s="122">
        <f>IF(H13=0,0,VLOOKUP(G13,'Country equity risk premiums'!$A$2:$D$187,4))</f>
        <v>0</v>
      </c>
      <c r="J13" s="122">
        <f>IF(H13&gt;0,H13/$H$16,)</f>
        <v>0</v>
      </c>
      <c r="K13" s="122">
        <f>IF(J13=0,0,I13*J13)</f>
        <v>0</v>
      </c>
      <c r="M13" s="466"/>
      <c r="N13" s="466"/>
      <c r="O13" s="466"/>
      <c r="P13" s="466"/>
      <c r="Q13" s="466"/>
    </row>
    <row r="14" spans="1:17" s="8" customFormat="1" ht="15" customHeight="1">
      <c r="B14" s="115"/>
      <c r="G14" s="323"/>
      <c r="H14" s="161"/>
      <c r="I14" s="323"/>
      <c r="J14" s="122">
        <f>IF(H14&gt;0,H14/$H$16,)</f>
        <v>0</v>
      </c>
      <c r="K14" s="122">
        <f>IF(J14=0,0,I14*J14)</f>
        <v>0</v>
      </c>
      <c r="M14" s="466"/>
      <c r="N14" s="466"/>
      <c r="O14" s="466"/>
      <c r="P14" s="466"/>
      <c r="Q14" s="466"/>
    </row>
    <row r="15" spans="1:17" s="8" customFormat="1" ht="15" customHeight="1">
      <c r="A15" s="17" t="s">
        <v>188</v>
      </c>
      <c r="B15" s="115"/>
      <c r="G15" s="323" t="s">
        <v>761</v>
      </c>
      <c r="H15" s="161">
        <v>17150</v>
      </c>
      <c r="I15" s="390">
        <v>6.2100000000000002E-2</v>
      </c>
      <c r="J15" s="122">
        <f>IF(H15&gt;0,H15/$H$16,)</f>
        <v>9.6420901127815317E-2</v>
      </c>
      <c r="K15" s="122">
        <f>IF(J15=0,0,I15*J15)</f>
        <v>5.9877379600373317E-3</v>
      </c>
      <c r="M15" s="466"/>
      <c r="N15" s="466"/>
      <c r="O15" s="466"/>
      <c r="P15" s="466"/>
      <c r="Q15" s="466"/>
    </row>
    <row r="16" spans="1:17" s="8" customFormat="1" ht="15" customHeight="1">
      <c r="A16" s="8" t="s">
        <v>189</v>
      </c>
      <c r="B16" s="120">
        <f>'Input sheet'!B12</f>
        <v>27050</v>
      </c>
      <c r="G16" s="162" t="s">
        <v>384</v>
      </c>
      <c r="H16" s="162">
        <f>SUM(H3:H15)</f>
        <v>177866</v>
      </c>
      <c r="I16" s="162"/>
      <c r="J16" s="122">
        <f>SUM(J3:J15)</f>
        <v>0.99999999999999989</v>
      </c>
      <c r="K16" s="122">
        <f>SUM(K3:K15)</f>
        <v>5.279833926691295E-2</v>
      </c>
      <c r="M16" s="466"/>
      <c r="N16" s="466"/>
      <c r="O16" s="466"/>
      <c r="P16" s="466"/>
      <c r="Q16" s="466"/>
    </row>
    <row r="17" spans="1:17" s="8" customFormat="1" ht="15" customHeight="1">
      <c r="A17" s="8" t="s">
        <v>190</v>
      </c>
      <c r="B17" s="120">
        <f>'Input sheet'!B10</f>
        <v>1239</v>
      </c>
      <c r="G17" s="128" t="s">
        <v>451</v>
      </c>
      <c r="M17" s="466"/>
      <c r="N17" s="466"/>
      <c r="O17" s="466"/>
      <c r="P17" s="466"/>
      <c r="Q17" s="466"/>
    </row>
    <row r="18" spans="1:17" s="8" customFormat="1" ht="15" customHeight="1">
      <c r="A18" s="8" t="s">
        <v>191</v>
      </c>
      <c r="B18" s="114">
        <v>3</v>
      </c>
      <c r="G18" s="19" t="s">
        <v>357</v>
      </c>
      <c r="H18" s="19" t="s">
        <v>11</v>
      </c>
      <c r="I18" s="19" t="s">
        <v>381</v>
      </c>
      <c r="J18" s="19" t="s">
        <v>383</v>
      </c>
      <c r="K18" s="19" t="s">
        <v>382</v>
      </c>
    </row>
    <row r="19" spans="1:17" s="8" customFormat="1" ht="15" customHeight="1">
      <c r="A19" s="8" t="s">
        <v>456</v>
      </c>
      <c r="B19" s="131" t="s">
        <v>454</v>
      </c>
      <c r="G19" s="19" t="str">
        <f>'Country equity risk premiums'!A191</f>
        <v>Africa &amp; Mid East</v>
      </c>
      <c r="H19" s="229">
        <v>0</v>
      </c>
      <c r="I19" s="24">
        <f>'Country equity risk premiums'!B191</f>
        <v>8.1097357319341576E-2</v>
      </c>
      <c r="J19" s="122">
        <f t="shared" ref="J19:J27" si="2">H19/$H$30</f>
        <v>0</v>
      </c>
      <c r="K19" s="164">
        <f>I19*J19</f>
        <v>0</v>
      </c>
    </row>
    <row r="20" spans="1:17" s="8" customFormat="1" ht="15" customHeight="1">
      <c r="A20" s="8" t="s">
        <v>458</v>
      </c>
      <c r="B20" s="233">
        <v>3.5000000000000003E-2</v>
      </c>
      <c r="G20" s="19" t="str">
        <f>'Country equity risk premiums'!A192</f>
        <v>Australia, NZ &amp; Canada</v>
      </c>
      <c r="H20" s="229">
        <f>3159+4281</f>
        <v>7440</v>
      </c>
      <c r="I20" s="24">
        <f>'Country equity risk premiums'!B192</f>
        <v>5.0821323659433773E-2</v>
      </c>
      <c r="J20" s="122">
        <f t="shared" si="2"/>
        <v>7.3442312248282404E-2</v>
      </c>
      <c r="K20" s="164">
        <f t="shared" ref="K20:K27" si="3">I20*J20</f>
        <v>3.7324355210671574E-3</v>
      </c>
    </row>
    <row r="21" spans="1:17" s="8" customFormat="1" ht="15" customHeight="1">
      <c r="A21" s="8" t="s">
        <v>457</v>
      </c>
      <c r="B21" s="131" t="s">
        <v>472</v>
      </c>
      <c r="G21" s="19" t="str">
        <f>'Country equity risk premiums'!A193</f>
        <v>Latin America &amp; Caribbean</v>
      </c>
      <c r="H21" s="229"/>
      <c r="I21" s="24">
        <f>'Country equity risk premiums'!B193</f>
        <v>8.7504940939532608E-2</v>
      </c>
      <c r="J21" s="122">
        <f t="shared" si="2"/>
        <v>0</v>
      </c>
      <c r="K21" s="164">
        <f t="shared" si="3"/>
        <v>0</v>
      </c>
    </row>
    <row r="22" spans="1:17" s="8" customFormat="1" ht="15" customHeight="1">
      <c r="A22" s="8" t="s">
        <v>474</v>
      </c>
      <c r="B22" s="131">
        <v>1</v>
      </c>
      <c r="G22" s="19" t="str">
        <f>'Country equity risk premiums'!A194</f>
        <v>Japan</v>
      </c>
      <c r="H22" s="229">
        <v>0</v>
      </c>
      <c r="I22" s="24">
        <f>'Country equity risk premiums'!B194</f>
        <v>5.8912210183078517E-2</v>
      </c>
      <c r="J22" s="122">
        <f t="shared" si="2"/>
        <v>0</v>
      </c>
      <c r="K22" s="164">
        <f t="shared" si="3"/>
        <v>0</v>
      </c>
    </row>
    <row r="23" spans="1:17" s="8" customFormat="1" ht="15" customHeight="1">
      <c r="A23" s="8" t="s">
        <v>125</v>
      </c>
      <c r="B23" s="232">
        <f ca="1">IF(B19="Direct Input",B20,IF(B19="Synthetic Rating",'Synthetic rating'!D13,B10+VLOOKUP('Cost of capital worksheet'!B21,'Synthetic rating'!G39:H53,2)))</f>
        <v>4.1299999999999996E-2</v>
      </c>
      <c r="G23" s="19" t="str">
        <f>'Country equity risk premiums'!A195</f>
        <v>US</v>
      </c>
      <c r="H23" s="229">
        <v>0</v>
      </c>
      <c r="I23" s="24">
        <f>'Country equity risk premiums'!B195</f>
        <v>5.0799999999999998E-2</v>
      </c>
      <c r="J23" s="122">
        <f t="shared" si="2"/>
        <v>0</v>
      </c>
      <c r="K23" s="164">
        <f t="shared" si="3"/>
        <v>0</v>
      </c>
    </row>
    <row r="24" spans="1:17" s="8" customFormat="1" ht="15" customHeight="1">
      <c r="A24" s="8" t="s">
        <v>192</v>
      </c>
      <c r="B24" s="235">
        <f>'Input sheet'!B21</f>
        <v>0.24</v>
      </c>
      <c r="G24" s="19" t="str">
        <f>'Country equity risk premiums'!A196</f>
        <v>Europe</v>
      </c>
      <c r="H24" s="229"/>
      <c r="I24" s="24">
        <f>'Country equity risk premiums'!B196</f>
        <v>6.0058130025645251E-2</v>
      </c>
      <c r="J24" s="122">
        <f t="shared" si="2"/>
        <v>0</v>
      </c>
      <c r="K24" s="164">
        <f t="shared" si="3"/>
        <v>0</v>
      </c>
    </row>
    <row r="25" spans="1:17" s="8" customFormat="1" ht="15" customHeight="1">
      <c r="B25" s="115"/>
      <c r="G25" s="19" t="str">
        <f>'Country equity risk premiums'!A197</f>
        <v>Emerging Markets</v>
      </c>
      <c r="H25" s="229">
        <v>0</v>
      </c>
      <c r="I25" s="24">
        <f>'Country equity risk premiums'!B197</f>
        <v>7.1410010078473682E-2</v>
      </c>
      <c r="J25" s="122">
        <f t="shared" si="2"/>
        <v>0</v>
      </c>
      <c r="K25" s="164">
        <f t="shared" si="3"/>
        <v>0</v>
      </c>
    </row>
    <row r="26" spans="1:17" s="8" customFormat="1" ht="15" customHeight="1">
      <c r="A26" s="8" t="s">
        <v>193</v>
      </c>
      <c r="B26" s="114">
        <v>0</v>
      </c>
      <c r="G26" s="19" t="str">
        <f>'Country equity risk premiums'!A198</f>
        <v>Small Asia (No India, China &amp; Japan)</v>
      </c>
      <c r="H26" s="229">
        <v>93864</v>
      </c>
      <c r="I26" s="24">
        <f>'Country equity risk premiums'!B198</f>
        <v>6.9263797657406354E-2</v>
      </c>
      <c r="J26" s="122">
        <f t="shared" si="2"/>
        <v>0.92655768775171765</v>
      </c>
      <c r="K26" s="164">
        <f t="shared" si="3"/>
        <v>6.4176904202349269E-2</v>
      </c>
    </row>
    <row r="27" spans="1:17" s="8" customFormat="1" ht="15" customHeight="1">
      <c r="A27" s="8" t="s">
        <v>194</v>
      </c>
      <c r="B27" s="114">
        <v>0</v>
      </c>
      <c r="G27" s="19" t="str">
        <f>'Country equity risk premiums'!A199</f>
        <v>North America</v>
      </c>
      <c r="H27" s="229"/>
      <c r="I27" s="24">
        <f>'Country equity risk premiums'!B199</f>
        <v>5.0799999999999998E-2</v>
      </c>
      <c r="J27" s="122">
        <f t="shared" si="2"/>
        <v>0</v>
      </c>
      <c r="K27" s="164">
        <f t="shared" si="3"/>
        <v>0</v>
      </c>
    </row>
    <row r="28" spans="1:17" s="8" customFormat="1" ht="15" customHeight="1">
      <c r="A28" s="8" t="s">
        <v>195</v>
      </c>
      <c r="B28" s="114">
        <v>0</v>
      </c>
      <c r="G28" s="229"/>
      <c r="H28" s="229"/>
      <c r="I28" s="324"/>
      <c r="J28" s="122">
        <f>H28/$H$30</f>
        <v>0</v>
      </c>
      <c r="K28" s="164">
        <f>I28*J28</f>
        <v>0</v>
      </c>
    </row>
    <row r="29" spans="1:17" s="8" customFormat="1" ht="15" customHeight="1">
      <c r="A29" s="8" t="s">
        <v>196</v>
      </c>
      <c r="B29" s="114">
        <v>0</v>
      </c>
      <c r="G29" s="229"/>
      <c r="H29" s="229"/>
      <c r="I29" s="324"/>
      <c r="J29" s="122">
        <f>H29/$H$30</f>
        <v>0</v>
      </c>
      <c r="K29" s="164">
        <f>I29*J29</f>
        <v>0</v>
      </c>
    </row>
    <row r="30" spans="1:17" s="8" customFormat="1" ht="15" customHeight="1">
      <c r="B30" s="115"/>
      <c r="G30" s="162" t="s">
        <v>384</v>
      </c>
      <c r="H30" s="162">
        <f>SUM(H19:H29)</f>
        <v>101304</v>
      </c>
      <c r="I30" s="124"/>
      <c r="J30" s="122">
        <f>SUM(J19:J29)</f>
        <v>1</v>
      </c>
      <c r="K30" s="165">
        <f>SUM(K19:K29)</f>
        <v>6.7909339723416423E-2</v>
      </c>
    </row>
    <row r="31" spans="1:17" s="8" customFormat="1" ht="15" customHeight="1">
      <c r="A31" s="8" t="s">
        <v>197</v>
      </c>
      <c r="B31" s="120">
        <f ca="1">IF('Input sheet'!B14="Yes",'Operating lease converter'!F33,0)</f>
        <v>18385.198571092016</v>
      </c>
    </row>
    <row r="32" spans="1:17" s="8" customFormat="1" ht="15" customHeight="1">
      <c r="B32" s="116"/>
      <c r="G32" s="111" t="s">
        <v>480</v>
      </c>
    </row>
    <row r="33" spans="1:11" s="8" customFormat="1" ht="15" customHeight="1">
      <c r="A33" s="17" t="s">
        <v>198</v>
      </c>
      <c r="B33" s="115"/>
      <c r="G33" s="19" t="s">
        <v>395</v>
      </c>
      <c r="H33" s="19" t="s">
        <v>11</v>
      </c>
      <c r="I33" s="19" t="s">
        <v>170</v>
      </c>
      <c r="J33" s="19" t="s">
        <v>396</v>
      </c>
      <c r="K33" s="19" t="s">
        <v>212</v>
      </c>
    </row>
    <row r="34" spans="1:11" s="8" customFormat="1" ht="15" customHeight="1">
      <c r="A34" s="8" t="s">
        <v>199</v>
      </c>
      <c r="B34" s="114">
        <v>0</v>
      </c>
      <c r="G34" s="229" t="s">
        <v>99</v>
      </c>
      <c r="H34" s="174">
        <v>70</v>
      </c>
      <c r="I34" s="175">
        <f>IF(G34=0,,VLOOKUP(G34,'Industry Averages(US)'!$A$2:$S$95,15))</f>
        <v>1.6638696600015395</v>
      </c>
      <c r="J34" s="176">
        <f>H34*I34</f>
        <v>116.47087620010777</v>
      </c>
      <c r="K34" s="175">
        <f>IF(I34=0,0,VLOOKUP(G34,'Industry Averages(US)'!$A$2:$S$95,7))</f>
        <v>0.78427897059429152</v>
      </c>
    </row>
    <row r="35" spans="1:11" s="8" customFormat="1" ht="15" customHeight="1">
      <c r="A35" s="8" t="s">
        <v>200</v>
      </c>
      <c r="B35" s="114">
        <v>70</v>
      </c>
      <c r="G35" s="229" t="s">
        <v>532</v>
      </c>
      <c r="H35" s="174">
        <v>30</v>
      </c>
      <c r="I35" s="175">
        <f>IF(G35=0,,VLOOKUP(G35,'Industry Averages(US)'!$A$2:$S$95,15))</f>
        <v>1.3377809169497061</v>
      </c>
      <c r="J35" s="176">
        <f>H35*I35</f>
        <v>40.133427508491181</v>
      </c>
      <c r="K35" s="175">
        <f>IF(I35=0,0,VLOOKUP(G35,'Industry Averages(US)'!$A$2:$S$95,7))</f>
        <v>0.94403176532379973</v>
      </c>
    </row>
    <row r="36" spans="1:11" s="8" customFormat="1" ht="15" customHeight="1">
      <c r="A36" s="8" t="s">
        <v>201</v>
      </c>
      <c r="B36" s="114">
        <v>5</v>
      </c>
      <c r="G36" s="229"/>
      <c r="H36" s="174"/>
      <c r="I36" s="175">
        <f>IF(G36=0,,VLOOKUP(G36,'Industry Averages(US)'!$A$2:$S$95,15))</f>
        <v>0</v>
      </c>
      <c r="J36" s="176">
        <f t="shared" ref="J36:J45" si="4">H36*I36</f>
        <v>0</v>
      </c>
      <c r="K36" s="175">
        <f>IF(I36=0,0,VLOOKUP(G36,'Industry Averages(US)'!$A$2:$S$95,7))</f>
        <v>0</v>
      </c>
    </row>
    <row r="37" spans="1:11" s="8" customFormat="1" ht="15" customHeight="1">
      <c r="G37" s="229"/>
      <c r="H37" s="174"/>
      <c r="I37" s="175">
        <f>IF(G37=0,,VLOOKUP(G37,'Industry Averages(US)'!$A$2:$S$95,15))</f>
        <v>0</v>
      </c>
      <c r="J37" s="176">
        <f t="shared" si="4"/>
        <v>0</v>
      </c>
      <c r="K37" s="175">
        <f>IF(I37=0,0,VLOOKUP(G37,'Industry Averages(US)'!$A$2:$S$95,7))</f>
        <v>0</v>
      </c>
    </row>
    <row r="38" spans="1:11" s="117" customFormat="1" ht="15" customHeight="1">
      <c r="A38" s="14" t="s">
        <v>124</v>
      </c>
      <c r="B38" s="8"/>
      <c r="C38" s="8"/>
      <c r="D38" s="8"/>
      <c r="E38" s="8"/>
      <c r="F38" s="8"/>
      <c r="G38" s="229"/>
      <c r="H38" s="174"/>
      <c r="I38" s="175">
        <f>IF(G38=0,,VLOOKUP(G38,'Industry Averages(US)'!$A$2:$S$95,15))</f>
        <v>0</v>
      </c>
      <c r="J38" s="176">
        <f t="shared" si="4"/>
        <v>0</v>
      </c>
      <c r="K38" s="175">
        <f>IF(I38=0,0,VLOOKUP(G38,'Industry Averages(US)'!$A$2:$S$95,7))</f>
        <v>0</v>
      </c>
    </row>
    <row r="39" spans="1:11" s="8" customFormat="1" ht="15" customHeight="1">
      <c r="A39" s="19" t="s">
        <v>202</v>
      </c>
      <c r="B39" s="19"/>
      <c r="C39" s="121">
        <f ca="1">B17*(1-(1+B23)^(-B18))/B23+B16/(1+B23)^B18</f>
        <v>27387.270728958651</v>
      </c>
      <c r="G39" s="229"/>
      <c r="H39" s="174"/>
      <c r="I39" s="175">
        <f>IF(G39=0,,VLOOKUP(G39,'Industry Averages(US)'!$A$2:$S$95,15))</f>
        <v>0</v>
      </c>
      <c r="J39" s="176">
        <f t="shared" si="4"/>
        <v>0</v>
      </c>
      <c r="K39" s="175">
        <f>IF(I39=0,0,VLOOKUP(G39,'Industry Averages(US)'!$A$2:$S$95,7))</f>
        <v>0</v>
      </c>
    </row>
    <row r="40" spans="1:11" s="8" customFormat="1" ht="15" customHeight="1">
      <c r="A40" s="19" t="s">
        <v>203</v>
      </c>
      <c r="B40" s="19"/>
      <c r="C40" s="121">
        <f ca="1">B27*(1-(1+B23)^(-B28))/B23+B26/(1+B23)^B28</f>
        <v>0</v>
      </c>
      <c r="G40" s="229"/>
      <c r="H40" s="174"/>
      <c r="I40" s="175">
        <f>IF(G40=0,,VLOOKUP(G40,'Industry Averages(US)'!$A$2:$S$95,15))</f>
        <v>0</v>
      </c>
      <c r="J40" s="176">
        <f t="shared" si="4"/>
        <v>0</v>
      </c>
      <c r="K40" s="175">
        <f>IF(I40=0,0,VLOOKUP(G40,'Industry Averages(US)'!$A$2:$S$95,7))</f>
        <v>0</v>
      </c>
    </row>
    <row r="41" spans="1:11" s="8" customFormat="1" ht="15" customHeight="1">
      <c r="A41" s="19" t="s">
        <v>204</v>
      </c>
      <c r="B41" s="19"/>
      <c r="C41" s="121">
        <f ca="1">B31</f>
        <v>18385.198571092016</v>
      </c>
      <c r="G41" s="229"/>
      <c r="H41" s="174"/>
      <c r="I41" s="175">
        <f>IF(G41=0,,VLOOKUP(G41,'Industry Averages(US)'!$A$2:$S$95,15))</f>
        <v>0</v>
      </c>
      <c r="J41" s="176">
        <f t="shared" si="4"/>
        <v>0</v>
      </c>
      <c r="K41" s="175">
        <f>IF(I41=0,0,VLOOKUP(G41,'Industry Averages(US)'!$A$2:$S$95,7))</f>
        <v>0</v>
      </c>
    </row>
    <row r="42" spans="1:11" ht="14">
      <c r="A42" s="19" t="s">
        <v>205</v>
      </c>
      <c r="B42" s="19"/>
      <c r="C42" s="121">
        <f ca="1">B29-C40</f>
        <v>0</v>
      </c>
      <c r="D42" s="8"/>
      <c r="E42" s="8"/>
      <c r="F42" s="8"/>
      <c r="G42" s="229"/>
      <c r="H42" s="174"/>
      <c r="I42" s="175">
        <f>IF(G42=0,,VLOOKUP(G42,'Industry Averages(US)'!$A$2:$S$95,15))</f>
        <v>0</v>
      </c>
      <c r="J42" s="176">
        <f t="shared" si="4"/>
        <v>0</v>
      </c>
      <c r="K42" s="175">
        <f>IF(I42=0,0,VLOOKUP(G42,'Industry Averages(US)'!$A$2:$S$95,7))</f>
        <v>0</v>
      </c>
    </row>
    <row r="43" spans="1:11" ht="14">
      <c r="A43" s="19" t="s">
        <v>213</v>
      </c>
      <c r="B43" s="19"/>
      <c r="C43" s="127">
        <f ca="1">IF(B7="Direct Input",B8,B9*(1+(1-B24)*(C46/B46)))</f>
        <v>0.98472296458488706</v>
      </c>
      <c r="D43" s="8"/>
      <c r="E43" s="8"/>
      <c r="F43" s="8"/>
      <c r="G43" s="229"/>
      <c r="H43" s="174"/>
      <c r="I43" s="175">
        <f>IF(G43=0,,VLOOKUP(G43,'Industry Averages(US)'!$A$2:$S$95,15))</f>
        <v>0</v>
      </c>
      <c r="J43" s="176">
        <f t="shared" si="4"/>
        <v>0</v>
      </c>
      <c r="K43" s="175">
        <f>IF(I43=0,0,VLOOKUP(G43,'Industry Averages(US)'!$A$2:$S$95,7))</f>
        <v>0</v>
      </c>
    </row>
    <row r="44" spans="1:11" ht="14">
      <c r="A44" s="8"/>
      <c r="B44" s="8"/>
      <c r="C44" s="127"/>
      <c r="D44" s="8"/>
      <c r="E44" s="8"/>
      <c r="F44" s="8"/>
      <c r="G44" s="229"/>
      <c r="H44" s="174"/>
      <c r="I44" s="175">
        <f>IF(G44=0,,VLOOKUP(G44,'Industry Averages(US)'!$A$2:$S$95,15))</f>
        <v>0</v>
      </c>
      <c r="J44" s="176">
        <f t="shared" si="4"/>
        <v>0</v>
      </c>
      <c r="K44" s="175">
        <f>IF(I44=0,0,VLOOKUP(G44,'Industry Averages(US)'!$A$2:$S$95,7))</f>
        <v>0</v>
      </c>
    </row>
    <row r="45" spans="1:11" ht="14">
      <c r="A45" s="117"/>
      <c r="B45" s="118" t="s">
        <v>184</v>
      </c>
      <c r="C45" s="118" t="s">
        <v>206</v>
      </c>
      <c r="D45" s="118" t="s">
        <v>198</v>
      </c>
      <c r="E45" s="118" t="s">
        <v>207</v>
      </c>
      <c r="F45" s="117"/>
      <c r="G45" s="229"/>
      <c r="H45" s="174"/>
      <c r="I45" s="175">
        <f>IF(G45=0,,VLOOKUP(G45,'Industry Averages(US)'!$A$2:$S$95,15))</f>
        <v>0</v>
      </c>
      <c r="J45" s="176">
        <f t="shared" si="4"/>
        <v>0</v>
      </c>
      <c r="K45" s="175">
        <f>IF(I45=0,0,VLOOKUP(G45,'Industry Averages(US)'!$A$2:$S$95,7))</f>
        <v>0</v>
      </c>
    </row>
    <row r="46" spans="1:11" ht="14">
      <c r="A46" s="19" t="s">
        <v>208</v>
      </c>
      <c r="B46" s="121">
        <f>B4*B5</f>
        <v>979184.43</v>
      </c>
      <c r="C46" s="121">
        <f ca="1">C39+C40+C41</f>
        <v>45772.469300050667</v>
      </c>
      <c r="D46" s="121">
        <f>B34*B35</f>
        <v>0</v>
      </c>
      <c r="E46" s="120">
        <f ca="1">SUM(B46:D46)</f>
        <v>1024956.8993000507</v>
      </c>
      <c r="F46" s="8"/>
      <c r="G46" s="177" t="s">
        <v>241</v>
      </c>
      <c r="H46" s="178">
        <f>SUM(H34:H45)</f>
        <v>100</v>
      </c>
      <c r="I46" s="179"/>
      <c r="J46" s="176">
        <f>SUM(J34:J45)</f>
        <v>156.60430370859893</v>
      </c>
      <c r="K46" s="179">
        <f>K34*(J34/J46)+K35*J35/J46+K36*J36/J46+K37*J37/J46+K38*J38/J46+K39*J39/J46+K40*J40/J46+K41*J41/J46+K42*J42/J46+K43*J43/J46+K44*J44/J46+K45*J45/J46</f>
        <v>0.82521927079501689</v>
      </c>
    </row>
    <row r="47" spans="1:11" ht="15" thickBot="1">
      <c r="A47" s="19" t="s">
        <v>209</v>
      </c>
      <c r="B47" s="122">
        <f ca="1">B46/$E$46</f>
        <v>0.95534205454755328</v>
      </c>
      <c r="C47" s="122">
        <f ca="1">C46/$E$46</f>
        <v>4.4657945452446793E-2</v>
      </c>
      <c r="D47" s="122">
        <f ca="1">D46/$E$46</f>
        <v>0</v>
      </c>
      <c r="E47" s="123">
        <f ca="1">SUM(B47:D47)</f>
        <v>1</v>
      </c>
      <c r="F47" s="8"/>
    </row>
    <row r="48" spans="1:11" ht="20" thickBot="1">
      <c r="A48" s="19" t="s">
        <v>210</v>
      </c>
      <c r="B48" s="124">
        <f ca="1">B10+C43*B13</f>
        <v>8.1991737168073175E-2</v>
      </c>
      <c r="C48" s="122">
        <f ca="1">B23*(1-B24)</f>
        <v>3.1387999999999999E-2</v>
      </c>
      <c r="D48" s="125">
        <f>B36/B35</f>
        <v>7.1428571428571425E-2</v>
      </c>
      <c r="E48" s="126">
        <f ca="1">B47*B48+C47*C48+D47*D48</f>
        <v>7.9731878233931422E-2</v>
      </c>
      <c r="F48" s="8"/>
      <c r="G48" s="239" t="s">
        <v>481</v>
      </c>
    </row>
    <row r="49" spans="7:11" ht="14">
      <c r="G49" s="19" t="s">
        <v>395</v>
      </c>
      <c r="H49" s="19" t="s">
        <v>11</v>
      </c>
      <c r="I49" s="19" t="s">
        <v>170</v>
      </c>
      <c r="J49" s="19" t="s">
        <v>396</v>
      </c>
      <c r="K49" s="19" t="s">
        <v>212</v>
      </c>
    </row>
    <row r="50" spans="7:11" ht="14">
      <c r="G50" s="229" t="s">
        <v>584</v>
      </c>
      <c r="H50" s="174">
        <f>108354+5798+31881</f>
        <v>146033</v>
      </c>
      <c r="I50" s="175">
        <f>IF(G50=0,,VLOOKUP(G50,'Global industry averages'!$A$2:$O$95,15))</f>
        <v>0.81853100455402261</v>
      </c>
      <c r="J50" s="176">
        <f>H50*I50</f>
        <v>119532.53818803758</v>
      </c>
      <c r="K50" s="175">
        <f>IF(G50=0,,VLOOKUP(G50,'Global industry averages'!$A$2:$O$95,7))</f>
        <v>0.92335550399577093</v>
      </c>
    </row>
    <row r="51" spans="7:11" ht="14">
      <c r="G51" s="229" t="s">
        <v>543</v>
      </c>
      <c r="H51" s="174">
        <f>9721</f>
        <v>9721</v>
      </c>
      <c r="I51" s="175">
        <f>IF(G51=0,,VLOOKUP(G51,'Global industry averages'!$A$2:$O$95,15))</f>
        <v>2.8999415778110627</v>
      </c>
      <c r="J51" s="176">
        <f>H51*I51</f>
        <v>28190.332077901341</v>
      </c>
      <c r="K51" s="175">
        <f>IF(G51=0,,VLOOKUP(G51,'Global industry averages'!$A$2:$O$95,7))</f>
        <v>1.0178523443102683</v>
      </c>
    </row>
    <row r="52" spans="7:11" ht="14">
      <c r="G52" s="229" t="s">
        <v>532</v>
      </c>
      <c r="H52" s="174">
        <v>17459</v>
      </c>
      <c r="I52" s="175">
        <f>IF(G52=0,,VLOOKUP(G52,'Global industry averages'!$A$2:$O$95,15))</f>
        <v>1.2899417909424864</v>
      </c>
      <c r="J52" s="176">
        <f t="shared" ref="J52:J61" si="5">H52*I52</f>
        <v>22521.093728064869</v>
      </c>
      <c r="K52" s="175">
        <f>IF(G52=0,,VLOOKUP(G52,'Global industry averages'!$A$2:$O$95,7))</f>
        <v>1.0135857658035281</v>
      </c>
    </row>
    <row r="53" spans="7:11" ht="14">
      <c r="G53" s="229"/>
      <c r="H53" s="174"/>
      <c r="I53" s="175">
        <f>IF(G53=0,,VLOOKUP(G53,'Global industry averages'!$A$2:$O$95,15))</f>
        <v>0</v>
      </c>
      <c r="J53" s="176">
        <f t="shared" si="5"/>
        <v>0</v>
      </c>
      <c r="K53" s="175">
        <f>IF(G53=0,,VLOOKUP(G53,'Global industry averages'!$A$2:$O$95,7))</f>
        <v>0</v>
      </c>
    </row>
    <row r="54" spans="7:11" ht="14">
      <c r="G54" s="229"/>
      <c r="H54" s="174"/>
      <c r="I54" s="175">
        <f>IF(G54=0,,VLOOKUP(G54,'Global industry averages'!$A$2:$O$95,15))</f>
        <v>0</v>
      </c>
      <c r="J54" s="176">
        <f t="shared" si="5"/>
        <v>0</v>
      </c>
      <c r="K54" s="175">
        <f>IF(G54=0,,VLOOKUP(G54,'Global industry averages'!$A$2:$O$95,7))</f>
        <v>0</v>
      </c>
    </row>
    <row r="55" spans="7:11" ht="14">
      <c r="G55" s="229"/>
      <c r="H55" s="174"/>
      <c r="I55" s="175">
        <f>IF(G55=0,,VLOOKUP(G55,'Global industry averages'!$A$2:$O$95,15))</f>
        <v>0</v>
      </c>
      <c r="J55" s="176">
        <f t="shared" si="5"/>
        <v>0</v>
      </c>
      <c r="K55" s="175">
        <f>IF(G55=0,,VLOOKUP(G55,'Global industry averages'!$A$2:$O$95,7))</f>
        <v>0</v>
      </c>
    </row>
    <row r="56" spans="7:11" ht="14">
      <c r="G56" s="229"/>
      <c r="H56" s="174"/>
      <c r="I56" s="175">
        <f>IF(G56=0,,VLOOKUP(G56,'Global industry averages'!$A$2:$O$95,15))</f>
        <v>0</v>
      </c>
      <c r="J56" s="176">
        <f t="shared" si="5"/>
        <v>0</v>
      </c>
      <c r="K56" s="175">
        <f>IF(G56=0,,VLOOKUP(G56,'Global industry averages'!$A$2:$O$95,7))</f>
        <v>0</v>
      </c>
    </row>
    <row r="57" spans="7:11" ht="14">
      <c r="G57" s="229"/>
      <c r="H57" s="174"/>
      <c r="I57" s="175">
        <f>IF(G57=0,,VLOOKUP(G57,'Global industry averages'!$A$2:$O$95,15))</f>
        <v>0</v>
      </c>
      <c r="J57" s="176">
        <f t="shared" si="5"/>
        <v>0</v>
      </c>
      <c r="K57" s="175">
        <f>IF(G57=0,,VLOOKUP(G57,'Global industry averages'!$A$2:$O$95,7))</f>
        <v>0</v>
      </c>
    </row>
    <row r="58" spans="7:11" ht="14">
      <c r="G58" s="229"/>
      <c r="H58" s="174"/>
      <c r="I58" s="175">
        <f>IF(G58=0,,VLOOKUP(G58,'Global industry averages'!$A$2:$O$95,15))</f>
        <v>0</v>
      </c>
      <c r="J58" s="176">
        <f t="shared" si="5"/>
        <v>0</v>
      </c>
      <c r="K58" s="175">
        <f>IF(G58=0,,VLOOKUP(G58,'Global industry averages'!$A$2:$O$95,7))</f>
        <v>0</v>
      </c>
    </row>
    <row r="59" spans="7:11" ht="14">
      <c r="G59" s="229"/>
      <c r="H59" s="174"/>
      <c r="I59" s="175">
        <f>IF(G59=0,,VLOOKUP(G59,'Global industry averages'!$A$2:$O$95,15))</f>
        <v>0</v>
      </c>
      <c r="J59" s="176">
        <f t="shared" si="5"/>
        <v>0</v>
      </c>
      <c r="K59" s="175">
        <f>IF(G59=0,,VLOOKUP(G59,'Global industry averages'!$A$2:$O$95,7))</f>
        <v>0</v>
      </c>
    </row>
    <row r="60" spans="7:11" ht="14">
      <c r="G60" s="229"/>
      <c r="H60" s="174"/>
      <c r="I60" s="175">
        <f>IF(G60=0,,VLOOKUP(G60,'Global industry averages'!$A$2:$O$95,15))</f>
        <v>0</v>
      </c>
      <c r="J60" s="176">
        <f t="shared" si="5"/>
        <v>0</v>
      </c>
      <c r="K60" s="175">
        <f>IF(G60=0,,VLOOKUP(G60,'Global industry averages'!$A$2:$O$95,7))</f>
        <v>0</v>
      </c>
    </row>
    <row r="61" spans="7:11" ht="14">
      <c r="G61" s="229"/>
      <c r="H61" s="174"/>
      <c r="I61" s="175">
        <f>IF(G61=0,,VLOOKUP(G61,'Global industry averages'!$A$2:$O$95,15))</f>
        <v>0</v>
      </c>
      <c r="J61" s="176">
        <f t="shared" si="5"/>
        <v>0</v>
      </c>
      <c r="K61" s="175">
        <f>IF(G61=0,,VLOOKUP(G61,'Global industry averages'!$A$2:$O$95,7))</f>
        <v>0</v>
      </c>
    </row>
    <row r="62" spans="7:11" ht="14">
      <c r="G62" s="177" t="s">
        <v>241</v>
      </c>
      <c r="H62" s="178">
        <f>SUM(H50:H61)</f>
        <v>173213</v>
      </c>
      <c r="I62" s="179"/>
      <c r="J62" s="176">
        <f>SUM(J50:J61)</f>
        <v>170243.9639940038</v>
      </c>
      <c r="K62" s="179">
        <f>K50*(J50/J62)+K51*J51/J62+K52*J52/J62+K53*J53/J62+K54*J54/J62+K55*J55/J62+K56*J56/J62+K57*J57/J62+K58*J58/J62+K59*J59/J62+K60*J60/J62+K61*J61/J62</f>
        <v>0.95093933946275877</v>
      </c>
    </row>
  </sheetData>
  <mergeCells count="1">
    <mergeCell ref="M3:Q17"/>
  </mergeCells>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900-000000000000}">
          <x14:formula1>
            <xm:f>'Answer keys'!$F$2:$F$6</xm:f>
          </x14:formula1>
          <xm:sqref>B7</xm:sqref>
        </x14:dataValidation>
        <x14:dataValidation type="list" allowBlank="1" showInputMessage="1" showErrorMessage="1" xr:uid="{00000000-0002-0000-0900-000001000000}">
          <x14:formula1>
            <xm:f>'Answer keys'!$C$2:$C$5</xm:f>
          </x14:formula1>
          <xm:sqref>B11</xm:sqref>
        </x14:dataValidation>
        <x14:dataValidation type="list" allowBlank="1" showInputMessage="1" showErrorMessage="1" xr:uid="{00000000-0002-0000-0900-000002000000}">
          <x14:formula1>
            <xm:f>'Answer keys'!$D$2:$D$4</xm:f>
          </x14:formula1>
          <xm:sqref>B19</xm:sqref>
        </x14:dataValidation>
        <x14:dataValidation type="list" allowBlank="1" showInputMessage="1" showErrorMessage="1" xr:uid="{00000000-0002-0000-0900-000003000000}">
          <x14:formula1>
            <xm:f>'Answer keys'!$E$2:$E$3</xm:f>
          </x14:formula1>
          <xm:sqref>B22</xm:sqref>
        </x14:dataValidation>
        <x14:dataValidation type="list" allowBlank="1" showInputMessage="1" showErrorMessage="1" xr:uid="{00000000-0002-0000-0900-000004000000}">
          <x14:formula1>
            <xm:f>'Country equity risk premiums'!$A$2:$A$187</xm:f>
          </x14:formula1>
          <xm:sqref>G3:G13</xm:sqref>
        </x14:dataValidation>
        <x14:dataValidation type="list" allowBlank="1" showInputMessage="1" showErrorMessage="1" xr:uid="{00000000-0002-0000-0900-000005000000}">
          <x14:formula1>
            <xm:f>'Industry Averages(US)'!$A$2:$A$95</xm:f>
          </x14:formula1>
          <xm:sqref>G34:G45</xm:sqref>
        </x14:dataValidation>
        <x14:dataValidation type="list" allowBlank="1" showInputMessage="1" showErrorMessage="1" xr:uid="{00000000-0002-0000-0900-000006000000}">
          <x14:formula1>
            <xm:f>'Global industry averages'!$A$2:$A$95</xm:f>
          </x14:formula1>
          <xm:sqref>G50 G52:G61 G51</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53"/>
  <sheetViews>
    <sheetView workbookViewId="0">
      <selection activeCell="D10" sqref="D10"/>
    </sheetView>
  </sheetViews>
  <sheetFormatPr baseColWidth="10" defaultColWidth="11.5" defaultRowHeight="12"/>
  <sheetData>
    <row r="1" spans="1:10" ht="19">
      <c r="A1" s="6" t="s">
        <v>214</v>
      </c>
    </row>
    <row r="2" spans="1:10" ht="19">
      <c r="A2" s="6" t="s">
        <v>215</v>
      </c>
    </row>
    <row r="3" spans="1:10" s="129" customFormat="1" ht="17" thickBot="1">
      <c r="A3" s="128" t="s">
        <v>216</v>
      </c>
    </row>
    <row r="4" spans="1:10" s="130" customFormat="1" ht="15" thickBot="1">
      <c r="A4" s="8" t="s">
        <v>217</v>
      </c>
      <c r="B4" s="8"/>
      <c r="C4" s="236">
        <f>'Cost of capital worksheet'!B22</f>
        <v>1</v>
      </c>
      <c r="D4" s="8"/>
      <c r="E4" s="8"/>
      <c r="F4" s="8"/>
      <c r="G4" s="8"/>
      <c r="H4" s="8"/>
      <c r="I4" s="8"/>
      <c r="J4" s="8"/>
    </row>
    <row r="5" spans="1:10" s="130" customFormat="1" ht="15" thickBot="1">
      <c r="A5" s="8" t="s">
        <v>218</v>
      </c>
      <c r="B5" s="8"/>
      <c r="C5" s="8"/>
      <c r="D5" s="8"/>
      <c r="E5" s="113"/>
      <c r="F5" s="120">
        <f ca="1">IF('Input sheet'!B14="Yes",'Input sheet'!B9+'Operating lease converter'!F32,'Input sheet'!B9)</f>
        <v>7746.4801428907986</v>
      </c>
      <c r="G5" s="8" t="s">
        <v>219</v>
      </c>
      <c r="H5" s="8"/>
      <c r="I5" s="8"/>
      <c r="J5" s="8"/>
    </row>
    <row r="6" spans="1:10" s="130" customFormat="1" ht="15" thickBot="1">
      <c r="A6" s="8" t="s">
        <v>220</v>
      </c>
      <c r="B6" s="8"/>
      <c r="C6" s="8"/>
      <c r="D6" s="8"/>
      <c r="E6" s="8"/>
      <c r="F6" s="205">
        <f ca="1">IF('Input sheet'!B14="Yes",'Cost of capital worksheet'!B17+'Operating lease converter'!C28*'Operating lease converter'!C15,'Cost of capital worksheet'!B17)</f>
        <v>1998.3087009861001</v>
      </c>
      <c r="G6" s="8" t="s">
        <v>221</v>
      </c>
      <c r="H6" s="8"/>
      <c r="I6" s="8"/>
      <c r="J6" s="8"/>
    </row>
    <row r="7" spans="1:10" s="130" customFormat="1" ht="15" thickBot="1">
      <c r="A7" s="8" t="s">
        <v>236</v>
      </c>
      <c r="B7" s="8"/>
      <c r="C7" s="8"/>
      <c r="D7" s="8"/>
      <c r="E7" s="8"/>
      <c r="F7" s="138">
        <f>'Input sheet'!B28</f>
        <v>0.03</v>
      </c>
      <c r="G7" s="8"/>
      <c r="H7" s="8"/>
      <c r="I7" s="8"/>
      <c r="J7" s="8"/>
    </row>
    <row r="8" spans="1:10" s="130" customFormat="1" ht="15" thickBot="1">
      <c r="A8" s="17" t="s">
        <v>124</v>
      </c>
      <c r="B8" s="8"/>
      <c r="C8" s="8"/>
      <c r="D8" s="8"/>
      <c r="E8" s="8"/>
      <c r="F8" s="113"/>
      <c r="G8" s="8"/>
      <c r="H8" s="8"/>
      <c r="I8" s="8"/>
      <c r="J8" s="8"/>
    </row>
    <row r="9" spans="1:10" s="130" customFormat="1" ht="15" thickBot="1">
      <c r="A9" s="8" t="s">
        <v>222</v>
      </c>
      <c r="B9" s="8"/>
      <c r="C9" s="8"/>
      <c r="D9" s="139">
        <f ca="1">IF(F6=0,1000000,IF(F5&lt;0,-100000,F5/F6))</f>
        <v>3.8765182471898179</v>
      </c>
      <c r="E9" s="8"/>
      <c r="F9" s="113"/>
      <c r="G9" s="8"/>
      <c r="H9" s="8"/>
      <c r="I9" s="8"/>
      <c r="J9" s="8"/>
    </row>
    <row r="10" spans="1:10" s="130" customFormat="1" ht="15" thickBot="1">
      <c r="A10" s="8" t="s">
        <v>223</v>
      </c>
      <c r="D10" s="140" t="str">
        <f ca="1">IF(C4=1,VLOOKUP(D9,A19:D33,3),(IF(C4=2,VLOOKUP(D9,A38:D52,3),VLOOKUP(D9,F19:I33,3))))</f>
        <v>A3/A-</v>
      </c>
      <c r="F10" s="16" t="s">
        <v>224</v>
      </c>
    </row>
    <row r="11" spans="1:10" s="130" customFormat="1" ht="15" thickBot="1">
      <c r="A11" s="8" t="s">
        <v>475</v>
      </c>
      <c r="D11" s="141">
        <f ca="1">IF(C4=1,VLOOKUP(D9,A19:D33,4),(IF(C4=2,VLOOKUP(D9,A38:D52,4),VLOOKUP(D9,F19:I33,4))))</f>
        <v>1.1299999999999999E-2</v>
      </c>
      <c r="F11" s="16" t="s">
        <v>225</v>
      </c>
    </row>
    <row r="12" spans="1:10" s="130" customFormat="1" ht="15" thickBot="1">
      <c r="A12" s="8" t="s">
        <v>476</v>
      </c>
      <c r="D12" s="141">
        <f>VLOOKUP('Input sheet'!B5,'Country equity risk premiums'!A2:C187,3)</f>
        <v>0</v>
      </c>
      <c r="F12" s="16"/>
    </row>
    <row r="13" spans="1:10" s="8" customFormat="1" ht="15" thickBot="1">
      <c r="A13" s="8" t="s">
        <v>226</v>
      </c>
      <c r="D13" s="142">
        <f ca="1">F7+D11+D12</f>
        <v>4.1299999999999996E-2</v>
      </c>
    </row>
    <row r="14" spans="1:10" s="8" customFormat="1" ht="14">
      <c r="D14" s="132"/>
    </row>
    <row r="15" spans="1:10" s="15" customFormat="1" ht="14">
      <c r="A15" s="15" t="s">
        <v>227</v>
      </c>
      <c r="D15" s="133"/>
    </row>
    <row r="16" spans="1:10" s="130" customFormat="1" ht="14">
      <c r="A16" s="17" t="s">
        <v>228</v>
      </c>
      <c r="F16"/>
      <c r="G16"/>
      <c r="H16"/>
      <c r="I16"/>
    </row>
    <row r="17" spans="1:10" s="130" customFormat="1" ht="14">
      <c r="A17" s="134" t="s">
        <v>229</v>
      </c>
      <c r="B17" s="134"/>
      <c r="C17" s="135"/>
      <c r="D17" s="135"/>
      <c r="F17"/>
      <c r="G17"/>
      <c r="H17"/>
      <c r="I17"/>
      <c r="J17" s="8"/>
    </row>
    <row r="18" spans="1:10" s="130" customFormat="1" ht="14">
      <c r="A18" s="118" t="s">
        <v>230</v>
      </c>
      <c r="B18" s="118" t="s">
        <v>231</v>
      </c>
      <c r="C18" s="118" t="s">
        <v>232</v>
      </c>
      <c r="D18" s="118" t="s">
        <v>233</v>
      </c>
      <c r="F18"/>
      <c r="G18"/>
      <c r="H18"/>
      <c r="I18"/>
    </row>
    <row r="19" spans="1:10" s="130" customFormat="1" ht="14">
      <c r="A19" s="30">
        <v>-100000</v>
      </c>
      <c r="B19" s="30">
        <v>0.19999900000000001</v>
      </c>
      <c r="C19" s="234" t="s">
        <v>459</v>
      </c>
      <c r="D19" s="325">
        <v>0.186</v>
      </c>
      <c r="F19"/>
      <c r="G19"/>
      <c r="H19"/>
      <c r="I19"/>
    </row>
    <row r="20" spans="1:10" s="130" customFormat="1" ht="14">
      <c r="A20" s="30">
        <v>0.2</v>
      </c>
      <c r="B20" s="30">
        <v>0.64999899999999999</v>
      </c>
      <c r="C20" s="234" t="s">
        <v>460</v>
      </c>
      <c r="D20" s="325">
        <v>0.13950000000000001</v>
      </c>
      <c r="F20"/>
      <c r="G20"/>
      <c r="H20"/>
      <c r="I20"/>
    </row>
    <row r="21" spans="1:10" s="130" customFormat="1" ht="14">
      <c r="A21" s="30">
        <v>0.65</v>
      </c>
      <c r="B21" s="30">
        <v>0.79999900000000002</v>
      </c>
      <c r="C21" s="234" t="s">
        <v>461</v>
      </c>
      <c r="D21" s="325">
        <v>0.10630000000000001</v>
      </c>
      <c r="F21"/>
      <c r="G21"/>
      <c r="H21"/>
      <c r="I21"/>
    </row>
    <row r="22" spans="1:10" s="130" customFormat="1" ht="14">
      <c r="A22" s="30">
        <v>0.8</v>
      </c>
      <c r="B22" s="30">
        <v>1.2499990000000001</v>
      </c>
      <c r="C22" s="234" t="s">
        <v>462</v>
      </c>
      <c r="D22" s="325">
        <v>8.6400000000000005E-2</v>
      </c>
      <c r="F22"/>
      <c r="G22"/>
      <c r="H22"/>
      <c r="I22"/>
    </row>
    <row r="23" spans="1:10" s="130" customFormat="1" ht="14">
      <c r="A23" s="30">
        <v>1.25</v>
      </c>
      <c r="B23" s="30">
        <v>1.4999990000000001</v>
      </c>
      <c r="C23" s="234" t="s">
        <v>463</v>
      </c>
      <c r="D23" s="325">
        <v>4.3700000000000003E-2</v>
      </c>
      <c r="F23"/>
      <c r="G23"/>
      <c r="H23"/>
      <c r="I23"/>
    </row>
    <row r="24" spans="1:10" s="130" customFormat="1" ht="14">
      <c r="A24" s="30">
        <v>1.5</v>
      </c>
      <c r="B24" s="30">
        <v>1.7499990000000001</v>
      </c>
      <c r="C24" s="234" t="s">
        <v>464</v>
      </c>
      <c r="D24" s="325">
        <v>3.5700000000000003E-2</v>
      </c>
      <c r="F24"/>
      <c r="G24"/>
      <c r="H24"/>
      <c r="I24"/>
    </row>
    <row r="25" spans="1:10" s="130" customFormat="1" ht="14">
      <c r="A25" s="30">
        <v>1.75</v>
      </c>
      <c r="B25" s="30">
        <v>1.9999990000000001</v>
      </c>
      <c r="C25" s="234" t="s">
        <v>465</v>
      </c>
      <c r="D25" s="325">
        <v>2.98E-2</v>
      </c>
      <c r="F25"/>
      <c r="G25"/>
      <c r="H25"/>
      <c r="I25"/>
    </row>
    <row r="26" spans="1:10" s="130" customFormat="1" ht="14">
      <c r="A26" s="30">
        <v>2</v>
      </c>
      <c r="B26" s="30">
        <v>2.2499999000000002</v>
      </c>
      <c r="C26" s="234" t="s">
        <v>466</v>
      </c>
      <c r="D26" s="325">
        <v>2.3800000000000002E-2</v>
      </c>
      <c r="F26"/>
      <c r="G26"/>
      <c r="H26"/>
      <c r="I26"/>
    </row>
    <row r="27" spans="1:10" s="130" customFormat="1" ht="14">
      <c r="A27" s="30">
        <v>2.25</v>
      </c>
      <c r="B27" s="30">
        <v>2.4999899999999999</v>
      </c>
      <c r="C27" s="234" t="s">
        <v>467</v>
      </c>
      <c r="D27" s="325">
        <v>1.9800000000000002E-2</v>
      </c>
      <c r="F27"/>
      <c r="G27"/>
      <c r="H27"/>
      <c r="I27"/>
    </row>
    <row r="28" spans="1:10" s="130" customFormat="1" ht="14">
      <c r="A28" s="30">
        <v>2.5</v>
      </c>
      <c r="B28" s="30">
        <v>2.9999989999999999</v>
      </c>
      <c r="C28" s="234" t="s">
        <v>468</v>
      </c>
      <c r="D28" s="325">
        <v>1.2699999999999999E-2</v>
      </c>
      <c r="F28"/>
      <c r="G28"/>
      <c r="H28"/>
      <c r="I28"/>
    </row>
    <row r="29" spans="1:10" s="130" customFormat="1" ht="14">
      <c r="A29" s="30">
        <v>3</v>
      </c>
      <c r="B29" s="30">
        <v>4.2499989999999999</v>
      </c>
      <c r="C29" s="234" t="s">
        <v>469</v>
      </c>
      <c r="D29" s="325">
        <v>1.1299999999999999E-2</v>
      </c>
      <c r="F29"/>
      <c r="G29"/>
      <c r="H29"/>
      <c r="I29"/>
    </row>
    <row r="30" spans="1:10" s="130" customFormat="1" ht="14">
      <c r="A30" s="30">
        <v>4.25</v>
      </c>
      <c r="B30" s="30">
        <v>5.4999989999999999</v>
      </c>
      <c r="C30" s="234" t="s">
        <v>470</v>
      </c>
      <c r="D30" s="325">
        <v>9.9000000000000008E-3</v>
      </c>
      <c r="F30"/>
      <c r="G30"/>
      <c r="H30"/>
      <c r="I30"/>
    </row>
    <row r="31" spans="1:10" s="130" customFormat="1" ht="14">
      <c r="A31" s="30">
        <v>5.5</v>
      </c>
      <c r="B31" s="30">
        <v>6.4999989999999999</v>
      </c>
      <c r="C31" s="234" t="s">
        <v>471</v>
      </c>
      <c r="D31" s="325">
        <v>8.9999999999999993E-3</v>
      </c>
      <c r="F31"/>
      <c r="G31"/>
      <c r="H31"/>
      <c r="I31"/>
    </row>
    <row r="32" spans="1:10" s="130" customFormat="1" ht="14">
      <c r="A32" s="30">
        <v>6.5</v>
      </c>
      <c r="B32" s="30">
        <v>8.4999990000000007</v>
      </c>
      <c r="C32" s="234" t="s">
        <v>472</v>
      </c>
      <c r="D32" s="325">
        <v>7.1999999999999998E-3</v>
      </c>
      <c r="F32"/>
      <c r="G32"/>
      <c r="H32"/>
      <c r="I32"/>
    </row>
    <row r="33" spans="1:9" s="130" customFormat="1" ht="14">
      <c r="A33" s="136">
        <v>8.5</v>
      </c>
      <c r="B33" s="30">
        <v>100000</v>
      </c>
      <c r="C33" s="234" t="s">
        <v>473</v>
      </c>
      <c r="D33" s="255">
        <v>5.4000000000000003E-3</v>
      </c>
      <c r="F33"/>
      <c r="G33"/>
      <c r="H33"/>
      <c r="I33"/>
    </row>
    <row r="34" spans="1:9" s="130" customFormat="1" ht="14"/>
    <row r="35" spans="1:9" s="130" customFormat="1" ht="14">
      <c r="A35" s="17" t="s">
        <v>235</v>
      </c>
    </row>
    <row r="36" spans="1:9" s="130" customFormat="1" ht="14">
      <c r="A36" s="134" t="s">
        <v>229</v>
      </c>
      <c r="B36" s="137"/>
      <c r="C36" s="30"/>
      <c r="D36" s="30"/>
    </row>
    <row r="37" spans="1:9" s="130" customFormat="1" ht="14">
      <c r="A37" s="30" t="s">
        <v>234</v>
      </c>
      <c r="B37" s="30" t="s">
        <v>231</v>
      </c>
      <c r="C37" s="30" t="s">
        <v>232</v>
      </c>
      <c r="D37" s="30" t="s">
        <v>233</v>
      </c>
    </row>
    <row r="38" spans="1:9" s="130" customFormat="1" ht="14">
      <c r="A38" s="30">
        <v>-100000</v>
      </c>
      <c r="B38" s="30">
        <v>0.49999900000000003</v>
      </c>
      <c r="C38" s="234" t="s">
        <v>459</v>
      </c>
      <c r="D38" s="325">
        <v>0.186</v>
      </c>
      <c r="G38" t="s">
        <v>232</v>
      </c>
      <c r="H38" t="s">
        <v>233</v>
      </c>
    </row>
    <row r="39" spans="1:9" s="130" customFormat="1" ht="14">
      <c r="A39" s="30">
        <v>0.5</v>
      </c>
      <c r="B39" s="30">
        <v>0.79999900000000002</v>
      </c>
      <c r="C39" s="234" t="s">
        <v>460</v>
      </c>
      <c r="D39" s="325">
        <v>0.13950000000000001</v>
      </c>
      <c r="G39" t="s">
        <v>471</v>
      </c>
      <c r="H39" s="326">
        <v>0.01</v>
      </c>
    </row>
    <row r="40" spans="1:9" s="130" customFormat="1" ht="14">
      <c r="A40" s="30">
        <v>0.8</v>
      </c>
      <c r="B40" s="30">
        <v>1.2499990000000001</v>
      </c>
      <c r="C40" s="234" t="s">
        <v>461</v>
      </c>
      <c r="D40" s="325">
        <v>0.10630000000000001</v>
      </c>
      <c r="G40" t="s">
        <v>470</v>
      </c>
      <c r="H40" s="326">
        <v>1.0999999999999999E-2</v>
      </c>
    </row>
    <row r="41" spans="1:9" s="130" customFormat="1" ht="14">
      <c r="A41" s="30">
        <v>1.25</v>
      </c>
      <c r="B41" s="30">
        <v>1.4999990000000001</v>
      </c>
      <c r="C41" s="234" t="s">
        <v>462</v>
      </c>
      <c r="D41" s="325">
        <v>8.6400000000000005E-2</v>
      </c>
      <c r="G41" t="s">
        <v>469</v>
      </c>
      <c r="H41" s="326">
        <v>1.2500000000000001E-2</v>
      </c>
    </row>
    <row r="42" spans="1:9" s="130" customFormat="1" ht="14">
      <c r="A42" s="30">
        <v>1.5</v>
      </c>
      <c r="B42" s="30">
        <v>1.9999990000000001</v>
      </c>
      <c r="C42" s="234" t="s">
        <v>463</v>
      </c>
      <c r="D42" s="325">
        <v>4.3700000000000003E-2</v>
      </c>
      <c r="G42" t="s">
        <v>472</v>
      </c>
      <c r="H42" s="326">
        <v>8.0000000000000002E-3</v>
      </c>
    </row>
    <row r="43" spans="1:9" s="130" customFormat="1" ht="14">
      <c r="A43" s="30">
        <v>2</v>
      </c>
      <c r="B43" s="30">
        <v>2.4999989999999999</v>
      </c>
      <c r="C43" s="234" t="s">
        <v>464</v>
      </c>
      <c r="D43" s="325">
        <v>3.5700000000000003E-2</v>
      </c>
      <c r="G43" t="s">
        <v>473</v>
      </c>
      <c r="H43" s="326">
        <v>6.0000000000000001E-3</v>
      </c>
    </row>
    <row r="44" spans="1:9" s="130" customFormat="1" ht="14">
      <c r="A44" s="30">
        <v>2.5</v>
      </c>
      <c r="B44" s="30">
        <v>2.9999989999999999</v>
      </c>
      <c r="C44" s="234" t="s">
        <v>465</v>
      </c>
      <c r="D44" s="325">
        <v>2.98E-2</v>
      </c>
      <c r="G44" t="s">
        <v>465</v>
      </c>
      <c r="H44" s="326">
        <v>3.7499999999999999E-2</v>
      </c>
    </row>
    <row r="45" spans="1:9" s="130" customFormat="1" ht="14">
      <c r="A45" s="30">
        <v>3</v>
      </c>
      <c r="B45" s="30">
        <v>3.4999989999999999</v>
      </c>
      <c r="C45" s="234" t="s">
        <v>466</v>
      </c>
      <c r="D45" s="325">
        <v>2.3800000000000002E-2</v>
      </c>
      <c r="G45" t="s">
        <v>464</v>
      </c>
      <c r="H45" s="326">
        <v>4.4999999999999998E-2</v>
      </c>
    </row>
    <row r="46" spans="1:9" s="130" customFormat="1" ht="14">
      <c r="A46" s="30">
        <v>3.5</v>
      </c>
      <c r="B46" s="30">
        <v>3.9999999000000002</v>
      </c>
      <c r="C46" s="234" t="s">
        <v>467</v>
      </c>
      <c r="D46" s="325">
        <v>1.9800000000000002E-2</v>
      </c>
      <c r="G46" t="s">
        <v>463</v>
      </c>
      <c r="H46" s="326">
        <v>5.5E-2</v>
      </c>
    </row>
    <row r="47" spans="1:9" s="130" customFormat="1" ht="14">
      <c r="A47" s="30">
        <v>4</v>
      </c>
      <c r="B47" s="30">
        <v>4.4999989999999999</v>
      </c>
      <c r="C47" s="234" t="s">
        <v>468</v>
      </c>
      <c r="D47" s="325">
        <v>1.2699999999999999E-2</v>
      </c>
      <c r="G47" t="s">
        <v>467</v>
      </c>
      <c r="H47" s="326">
        <v>2.5000000000000001E-2</v>
      </c>
    </row>
    <row r="48" spans="1:9" s="130" customFormat="1" ht="14">
      <c r="A48" s="30">
        <v>4.5</v>
      </c>
      <c r="B48" s="30">
        <v>5.9999989999999999</v>
      </c>
      <c r="C48" s="234" t="s">
        <v>469</v>
      </c>
      <c r="D48" s="325">
        <v>1.1299999999999999E-2</v>
      </c>
      <c r="G48" t="s">
        <v>466</v>
      </c>
      <c r="H48" s="326">
        <v>0.03</v>
      </c>
    </row>
    <row r="49" spans="1:10" s="130" customFormat="1" ht="14">
      <c r="A49" s="30">
        <v>6</v>
      </c>
      <c r="B49" s="30">
        <v>7.4999989999999999</v>
      </c>
      <c r="C49" s="234" t="s">
        <v>470</v>
      </c>
      <c r="D49" s="325">
        <v>9.9000000000000008E-3</v>
      </c>
      <c r="G49" t="s">
        <v>468</v>
      </c>
      <c r="H49" s="326">
        <v>1.6E-2</v>
      </c>
    </row>
    <row r="50" spans="1:10" s="130" customFormat="1" ht="14">
      <c r="A50" s="30">
        <v>7.5</v>
      </c>
      <c r="B50" s="30">
        <v>9.4999990000000007</v>
      </c>
      <c r="C50" s="234" t="s">
        <v>471</v>
      </c>
      <c r="D50" s="325">
        <v>8.9999999999999993E-3</v>
      </c>
      <c r="G50" t="s">
        <v>462</v>
      </c>
      <c r="H50" s="326">
        <v>0.105</v>
      </c>
    </row>
    <row r="51" spans="1:10" ht="14">
      <c r="A51" s="30">
        <v>9.5</v>
      </c>
      <c r="B51" s="30">
        <v>12.499999000000001</v>
      </c>
      <c r="C51" s="234" t="s">
        <v>472</v>
      </c>
      <c r="D51" s="325">
        <v>7.1999999999999998E-3</v>
      </c>
      <c r="F51" s="130"/>
      <c r="G51" t="s">
        <v>461</v>
      </c>
      <c r="H51" s="326">
        <v>0.08</v>
      </c>
      <c r="I51" s="130"/>
      <c r="J51" s="130"/>
    </row>
    <row r="52" spans="1:10" ht="14">
      <c r="A52" s="30">
        <v>12.5</v>
      </c>
      <c r="B52" s="30">
        <v>100000</v>
      </c>
      <c r="C52" s="234" t="s">
        <v>473</v>
      </c>
      <c r="D52" s="255">
        <v>5.4000000000000003E-3</v>
      </c>
      <c r="G52" t="s">
        <v>460</v>
      </c>
      <c r="H52" s="326">
        <v>6.5000000000000002E-2</v>
      </c>
    </row>
    <row r="53" spans="1:10">
      <c r="G53" t="s">
        <v>459</v>
      </c>
      <c r="H53" s="326">
        <v>0.14000000000000001</v>
      </c>
    </row>
  </sheetData>
  <pageMargins left="0.75" right="0.75" top="1" bottom="1" header="0.5" footer="0.5"/>
  <pageSetup orientation="portrait" horizontalDpi="4294967292" verticalDpi="4294967292"/>
  <headerFooter alignWithMargins="0"/>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95"/>
  <sheetViews>
    <sheetView workbookViewId="0">
      <pane xSplit="1" ySplit="1" topLeftCell="B2" activePane="bottomRight" state="frozen"/>
      <selection pane="topRight" activeCell="B1" sqref="B1"/>
      <selection pane="bottomLeft" activeCell="A2" sqref="A2"/>
      <selection pane="bottomRight" sqref="A1:IV95"/>
    </sheetView>
  </sheetViews>
  <sheetFormatPr baseColWidth="10" defaultColWidth="11.5" defaultRowHeight="12"/>
  <cols>
    <col min="1" max="1" width="29.1640625" bestFit="1" customWidth="1"/>
    <col min="2" max="23" width="10.83203125" customWidth="1"/>
  </cols>
  <sheetData>
    <row r="1" spans="1:26" s="384" customFormat="1" ht="78">
      <c r="A1" s="381" t="s">
        <v>98</v>
      </c>
      <c r="B1" s="381" t="s">
        <v>175</v>
      </c>
      <c r="C1" s="382" t="s">
        <v>163</v>
      </c>
      <c r="D1" s="381" t="s">
        <v>760</v>
      </c>
      <c r="E1" s="382" t="s">
        <v>182</v>
      </c>
      <c r="F1" s="381" t="s">
        <v>164</v>
      </c>
      <c r="G1" s="381" t="s">
        <v>212</v>
      </c>
      <c r="H1" s="381" t="s">
        <v>165</v>
      </c>
      <c r="I1" s="381" t="s">
        <v>166</v>
      </c>
      <c r="J1" s="381" t="s">
        <v>167</v>
      </c>
      <c r="K1" s="381" t="s">
        <v>168</v>
      </c>
      <c r="L1" s="381" t="s">
        <v>169</v>
      </c>
      <c r="M1" s="381" t="s">
        <v>148</v>
      </c>
      <c r="N1" s="383" t="s">
        <v>101</v>
      </c>
      <c r="O1" s="381" t="s">
        <v>170</v>
      </c>
      <c r="P1" s="381" t="s">
        <v>171</v>
      </c>
      <c r="Q1" s="381" t="s">
        <v>172</v>
      </c>
      <c r="R1" s="381" t="s">
        <v>173</v>
      </c>
      <c r="S1" s="381" t="s">
        <v>174</v>
      </c>
      <c r="T1" s="381" t="s">
        <v>500</v>
      </c>
      <c r="U1" s="381" t="s">
        <v>501</v>
      </c>
      <c r="V1" s="381" t="s">
        <v>502</v>
      </c>
      <c r="W1" s="381" t="s">
        <v>503</v>
      </c>
      <c r="X1" s="381" t="s">
        <v>486</v>
      </c>
      <c r="Y1" s="381" t="s">
        <v>504</v>
      </c>
      <c r="Z1" s="381" t="s">
        <v>505</v>
      </c>
    </row>
    <row r="2" spans="1:26">
      <c r="A2" t="s">
        <v>99</v>
      </c>
      <c r="B2">
        <v>40</v>
      </c>
      <c r="C2" s="326">
        <v>0.11766352941176469</v>
      </c>
      <c r="D2" s="326">
        <v>0.12408514984580508</v>
      </c>
      <c r="E2" s="326">
        <v>0.77565051182871181</v>
      </c>
      <c r="F2" s="326">
        <v>0.30392514175771085</v>
      </c>
      <c r="G2" s="380">
        <v>0.78427897059429152</v>
      </c>
      <c r="H2" s="380">
        <v>1.1535561290322582</v>
      </c>
      <c r="I2" s="326">
        <v>8.2700651354838714E-2</v>
      </c>
      <c r="J2" s="326">
        <v>0.80950932229454164</v>
      </c>
      <c r="K2" s="326">
        <v>6.9099999999999995E-2</v>
      </c>
      <c r="L2" s="326">
        <v>0.42486144836097484</v>
      </c>
      <c r="M2" s="326">
        <v>6.9876356661950884E-2</v>
      </c>
      <c r="N2" s="380">
        <v>6.6765068533149199</v>
      </c>
      <c r="O2" s="380">
        <v>1.6638696600015395</v>
      </c>
      <c r="P2" s="380">
        <v>8.3505372652217318</v>
      </c>
      <c r="Q2" s="380">
        <v>13.149476084797334</v>
      </c>
      <c r="R2" s="380">
        <v>9.1587623470525834</v>
      </c>
      <c r="S2" s="380">
        <v>57.180660984774157</v>
      </c>
      <c r="T2" s="326">
        <v>-1.653885552702343E-2</v>
      </c>
      <c r="U2" s="326">
        <v>2.3229014939131421E-2</v>
      </c>
      <c r="V2" s="326">
        <v>-2.6332733589721257E-3</v>
      </c>
      <c r="W2" s="326">
        <v>0.21519056422619928</v>
      </c>
      <c r="X2" s="326">
        <v>-8.7986452041058268E-3</v>
      </c>
      <c r="Y2" s="326">
        <v>0.5284590433054126</v>
      </c>
      <c r="Z2" s="326">
        <v>0.5284590433054126</v>
      </c>
    </row>
    <row r="3" spans="1:26">
      <c r="A3" t="s">
        <v>514</v>
      </c>
      <c r="B3">
        <v>87</v>
      </c>
      <c r="C3" s="326">
        <v>3.3537083333333328E-2</v>
      </c>
      <c r="D3" s="326">
        <v>0.11626117543387475</v>
      </c>
      <c r="E3" s="326">
        <v>0.37051124276701169</v>
      </c>
      <c r="F3" s="326">
        <v>0.29150382440647271</v>
      </c>
      <c r="G3" s="380">
        <v>0.99233232129102122</v>
      </c>
      <c r="H3" s="380">
        <v>1.0826060000000002</v>
      </c>
      <c r="I3" s="326">
        <v>7.9096384800000002E-2</v>
      </c>
      <c r="J3" s="326">
        <v>0.49061635030186002</v>
      </c>
      <c r="K3" s="326">
        <v>3.9099999999999996E-2</v>
      </c>
      <c r="L3" s="326">
        <v>0.15583594761593395</v>
      </c>
      <c r="M3" s="326">
        <v>7.1401145741052552E-2</v>
      </c>
      <c r="N3" s="380">
        <v>3.6123522434351791</v>
      </c>
      <c r="O3" s="380">
        <v>2.0885531903606016</v>
      </c>
      <c r="P3" s="380">
        <v>13.962257002205495</v>
      </c>
      <c r="Q3" s="380">
        <v>17.674829487185963</v>
      </c>
      <c r="R3" s="380">
        <v>6.4263145992412971</v>
      </c>
      <c r="S3" s="380">
        <v>29.341971014130824</v>
      </c>
      <c r="T3" s="326">
        <v>0.27710403588482246</v>
      </c>
      <c r="U3" s="326">
        <v>2.7124933391365506E-2</v>
      </c>
      <c r="V3" s="326">
        <v>2.0827227577284359E-2</v>
      </c>
      <c r="W3" s="326">
        <v>0.40168930320050011</v>
      </c>
      <c r="X3" s="326">
        <v>0.29028585109808813</v>
      </c>
      <c r="Y3" s="326">
        <v>0.39516822991874895</v>
      </c>
      <c r="Z3" s="326">
        <v>0.39516822991874889</v>
      </c>
    </row>
    <row r="4" spans="1:26">
      <c r="A4" t="s">
        <v>515</v>
      </c>
      <c r="B4">
        <v>17</v>
      </c>
      <c r="C4" s="326">
        <v>6.1987500000000001E-2</v>
      </c>
      <c r="D4" s="326">
        <v>0.128403311780767</v>
      </c>
      <c r="E4" s="326">
        <v>0.13501065069918713</v>
      </c>
      <c r="F4" s="326">
        <v>0.3714994456201865</v>
      </c>
      <c r="G4" s="380">
        <v>0.67328042235886143</v>
      </c>
      <c r="H4" s="380">
        <v>1.0088835</v>
      </c>
      <c r="I4" s="326">
        <v>7.5351281800000003E-2</v>
      </c>
      <c r="J4" s="326">
        <v>0.40200793327749412</v>
      </c>
      <c r="K4" s="326">
        <v>3.9099999999999996E-2</v>
      </c>
      <c r="L4" s="326">
        <v>0.41520146304143818</v>
      </c>
      <c r="M4" s="326">
        <v>5.6403446030331685E-2</v>
      </c>
      <c r="N4" s="380">
        <v>1.3939105220538028</v>
      </c>
      <c r="O4" s="380">
        <v>1.5580208082577109</v>
      </c>
      <c r="P4" s="380">
        <v>6.5646385971926327</v>
      </c>
      <c r="Q4" s="380">
        <v>12.135670651971271</v>
      </c>
      <c r="R4" s="380">
        <v>3.0618413234727719</v>
      </c>
      <c r="S4" s="380">
        <v>14.101198010772878</v>
      </c>
      <c r="T4" s="326">
        <v>1.1868604784801852E-2</v>
      </c>
      <c r="U4" s="326">
        <v>0.12557975361742404</v>
      </c>
      <c r="V4" s="326">
        <v>8.5668339664489848E-2</v>
      </c>
      <c r="W4" s="326">
        <v>1.0167243801745232</v>
      </c>
      <c r="X4" s="326">
        <v>0.24781682103307051</v>
      </c>
      <c r="Y4" s="326">
        <v>0.15274742878729075</v>
      </c>
      <c r="Z4" s="326">
        <v>0.15274742878729075</v>
      </c>
    </row>
    <row r="5" spans="1:26">
      <c r="A5" t="s">
        <v>516</v>
      </c>
      <c r="B5">
        <v>51</v>
      </c>
      <c r="C5" s="326">
        <v>0.20665733333333333</v>
      </c>
      <c r="D5" s="326">
        <v>0.109755831913041</v>
      </c>
      <c r="E5" s="326">
        <v>0.14180981641309262</v>
      </c>
      <c r="F5" s="326">
        <v>0.18584588534651744</v>
      </c>
      <c r="G5" s="380">
        <v>0.85095727036123026</v>
      </c>
      <c r="H5" s="380">
        <v>1.016773688888889</v>
      </c>
      <c r="I5" s="326">
        <v>7.5752103395555562E-2</v>
      </c>
      <c r="J5" s="326">
        <v>0.59710824385464778</v>
      </c>
      <c r="K5" s="326">
        <v>3.9099999999999996E-2</v>
      </c>
      <c r="L5" s="326">
        <v>0.25475945652528703</v>
      </c>
      <c r="M5" s="326">
        <v>6.4023970713961903E-2</v>
      </c>
      <c r="N5" s="380">
        <v>1.4407434500519307</v>
      </c>
      <c r="O5" s="380">
        <v>1.988282207787617</v>
      </c>
      <c r="P5" s="380">
        <v>10.973312716373147</v>
      </c>
      <c r="Q5" s="380">
        <v>17.903533354519897</v>
      </c>
      <c r="R5" s="380">
        <v>3.5814118097487384</v>
      </c>
      <c r="S5" s="380">
        <v>34.875995857048089</v>
      </c>
      <c r="T5" s="326">
        <v>0.25756369764604642</v>
      </c>
      <c r="U5" s="326">
        <v>2.7043897523599762E-2</v>
      </c>
      <c r="V5" s="326">
        <v>5.9398571977192803E-2</v>
      </c>
      <c r="W5" s="326">
        <v>0.61793361027187155</v>
      </c>
      <c r="X5" s="326">
        <v>7.6234161364445607E-2</v>
      </c>
      <c r="Y5" s="326">
        <v>0.77532499065847216</v>
      </c>
      <c r="Z5" s="326">
        <v>0.77532499065847216</v>
      </c>
    </row>
    <row r="6" spans="1:26">
      <c r="A6" t="s">
        <v>517</v>
      </c>
      <c r="B6">
        <v>18</v>
      </c>
      <c r="C6" s="326">
        <v>0.22605428571428571</v>
      </c>
      <c r="D6" s="326">
        <v>4.2080382054000907E-2</v>
      </c>
      <c r="E6" s="326">
        <v>3.9691310804409387E-2</v>
      </c>
      <c r="F6" s="326">
        <v>0.27715583143886252</v>
      </c>
      <c r="G6" s="380">
        <v>0.59226199691257841</v>
      </c>
      <c r="H6" s="380">
        <v>1.1974170666666666</v>
      </c>
      <c r="I6" s="326">
        <v>8.4928786986666657E-2</v>
      </c>
      <c r="J6" s="326">
        <v>0.38590283496274608</v>
      </c>
      <c r="K6" s="326">
        <v>3.61E-2</v>
      </c>
      <c r="L6" s="326">
        <v>0.5969174640323911</v>
      </c>
      <c r="M6" s="326">
        <v>5.0610338378431138E-2</v>
      </c>
      <c r="N6" s="380">
        <v>1.0215640795230427</v>
      </c>
      <c r="O6" s="380">
        <v>1.2216369022595048</v>
      </c>
      <c r="P6" s="380">
        <v>10.615768300934297</v>
      </c>
      <c r="Q6" s="380">
        <v>30.81888306491124</v>
      </c>
      <c r="R6" s="380">
        <v>2.0540406713206907</v>
      </c>
      <c r="S6" s="380">
        <v>17.29346566450663</v>
      </c>
      <c r="T6" s="326">
        <v>-2.0621803555514347E-2</v>
      </c>
      <c r="U6" s="326">
        <v>0.11692759718935436</v>
      </c>
      <c r="V6" s="326">
        <v>4.6394620298320775E-2</v>
      </c>
      <c r="W6" s="326">
        <v>1.4732719193374488</v>
      </c>
      <c r="X6" s="326">
        <v>8.6358258537284877E-2</v>
      </c>
      <c r="Y6" s="326">
        <v>0.69488543331336305</v>
      </c>
      <c r="Z6" s="326">
        <v>0.69488543331336305</v>
      </c>
    </row>
    <row r="7" spans="1:26">
      <c r="A7" t="s">
        <v>518</v>
      </c>
      <c r="B7">
        <v>62</v>
      </c>
      <c r="C7" s="326">
        <v>7.6424827586206917E-2</v>
      </c>
      <c r="D7" s="326">
        <v>9.5482480287822372E-2</v>
      </c>
      <c r="E7" s="326">
        <v>0.23785515939170601</v>
      </c>
      <c r="F7" s="326">
        <v>0.20110399455672087</v>
      </c>
      <c r="G7" s="380">
        <v>0.92004456368593335</v>
      </c>
      <c r="H7" s="380">
        <v>1.0375354385964917</v>
      </c>
      <c r="I7" s="326">
        <v>7.6806800280701776E-2</v>
      </c>
      <c r="J7" s="326">
        <v>0.56736903824633655</v>
      </c>
      <c r="K7" s="326">
        <v>3.9099999999999996E-2</v>
      </c>
      <c r="L7" s="326">
        <v>0.22058660276901976</v>
      </c>
      <c r="M7" s="326">
        <v>6.6419200625107366E-2</v>
      </c>
      <c r="N7" s="380">
        <v>2.6880897584225409</v>
      </c>
      <c r="O7" s="380">
        <v>0.97880002291568835</v>
      </c>
      <c r="P7" s="380">
        <v>7.5875087565778463</v>
      </c>
      <c r="Q7" s="380">
        <v>10.690393156025467</v>
      </c>
      <c r="R7" s="380">
        <v>2.918420149059723</v>
      </c>
      <c r="S7" s="380">
        <v>20.029193754349482</v>
      </c>
      <c r="T7" s="326">
        <v>0.11202404182747849</v>
      </c>
      <c r="U7" s="326">
        <v>4.5380816957860115E-2</v>
      </c>
      <c r="V7" s="326">
        <v>7.3866428163659875E-2</v>
      </c>
      <c r="W7" s="326">
        <v>1.0379200407376057</v>
      </c>
      <c r="X7" s="326">
        <v>0.24139026835247734</v>
      </c>
      <c r="Y7" s="326">
        <v>0.13853702849163227</v>
      </c>
      <c r="Z7" s="326">
        <v>0.1385370284916323</v>
      </c>
    </row>
    <row r="8" spans="1:26">
      <c r="A8" t="s">
        <v>519</v>
      </c>
      <c r="B8">
        <v>11</v>
      </c>
      <c r="C8" s="326">
        <v>5.2188888888888882E-2</v>
      </c>
      <c r="D8" s="326">
        <v>-6.8663456196677095E-4</v>
      </c>
      <c r="E8" s="326">
        <v>-6.7827395546844044E-5</v>
      </c>
      <c r="F8" s="326">
        <v>0.2835369877144433</v>
      </c>
      <c r="G8" s="380">
        <v>0.32250415910787117</v>
      </c>
      <c r="H8" s="380">
        <v>0.63754545454545453</v>
      </c>
      <c r="I8" s="326">
        <v>5.6487309090909085E-2</v>
      </c>
      <c r="J8" s="326">
        <v>0.33374670463535949</v>
      </c>
      <c r="K8" s="326">
        <v>3.61E-2</v>
      </c>
      <c r="L8" s="326">
        <v>0.61128397933208423</v>
      </c>
      <c r="M8" s="326">
        <v>3.8728709265011832E-2</v>
      </c>
      <c r="N8" s="380">
        <v>0.13589981997767722</v>
      </c>
      <c r="O8" s="380">
        <v>8.4502108719487019</v>
      </c>
      <c r="P8" s="380" t="s">
        <v>100</v>
      </c>
      <c r="Q8" s="380" t="s">
        <v>100</v>
      </c>
      <c r="R8" s="380">
        <v>1.2438299337255097</v>
      </c>
      <c r="S8" s="380">
        <v>15.755900801545549</v>
      </c>
      <c r="T8" s="326" t="s">
        <v>100</v>
      </c>
      <c r="U8" s="326">
        <v>9.1472470179775021E-3</v>
      </c>
      <c r="V8" s="326">
        <v>1.1484865908985705E-2</v>
      </c>
      <c r="W8" s="326" t="s">
        <v>100</v>
      </c>
      <c r="X8" s="326">
        <v>9.9329692082741158E-2</v>
      </c>
      <c r="Y8" s="326">
        <v>0.24572801534248764</v>
      </c>
      <c r="Z8" s="326">
        <v>0.24572801534248767</v>
      </c>
    </row>
    <row r="9" spans="1:26">
      <c r="A9" t="s">
        <v>520</v>
      </c>
      <c r="B9">
        <v>612</v>
      </c>
      <c r="C9" s="326">
        <v>8.9641977528089903E-2</v>
      </c>
      <c r="D9" s="326">
        <v>-1.6135432004762218E-3</v>
      </c>
      <c r="E9" s="326">
        <v>-3.1426510840623038E-4</v>
      </c>
      <c r="F9" s="326">
        <v>0.2930678029422108</v>
      </c>
      <c r="G9" s="380">
        <v>0.38572641464055496</v>
      </c>
      <c r="H9" s="380">
        <v>0.5017112663139327</v>
      </c>
      <c r="I9" s="326">
        <v>4.9586932328747779E-2</v>
      </c>
      <c r="J9" s="326">
        <v>0.32075656836480632</v>
      </c>
      <c r="K9" s="326">
        <v>3.61E-2</v>
      </c>
      <c r="L9" s="326">
        <v>0.36978252333355588</v>
      </c>
      <c r="M9" s="326">
        <v>4.1395904678032586E-2</v>
      </c>
      <c r="N9" s="380">
        <v>0.26166276037215447</v>
      </c>
      <c r="O9" s="380">
        <v>6.270083711081238</v>
      </c>
      <c r="P9" s="380" t="s">
        <v>100</v>
      </c>
      <c r="Q9" s="380" t="s">
        <v>100</v>
      </c>
      <c r="R9" s="380">
        <v>1.5005733208537471</v>
      </c>
      <c r="S9" s="380">
        <v>23.146890272983217</v>
      </c>
      <c r="T9" s="326" t="s">
        <v>100</v>
      </c>
      <c r="U9" s="326">
        <v>4.4406694348506123E-2</v>
      </c>
      <c r="V9" s="326">
        <v>4.7579990145541796E-2</v>
      </c>
      <c r="W9" s="326" t="s">
        <v>100</v>
      </c>
      <c r="X9" s="326">
        <v>9.0282785226053111E-2</v>
      </c>
      <c r="Y9" s="326">
        <v>0.30911849704917127</v>
      </c>
      <c r="Z9" s="326">
        <v>0.30911849704917127</v>
      </c>
    </row>
    <row r="10" spans="1:26">
      <c r="A10" t="s">
        <v>521</v>
      </c>
      <c r="B10">
        <v>28</v>
      </c>
      <c r="C10" s="326">
        <v>0.11327272727272726</v>
      </c>
      <c r="D10" s="326">
        <v>0.23414123384178817</v>
      </c>
      <c r="E10" s="326">
        <v>0.24322235482390731</v>
      </c>
      <c r="F10" s="326">
        <v>0.3001570399359601</v>
      </c>
      <c r="G10" s="380">
        <v>1.1198147273755252</v>
      </c>
      <c r="H10" s="380">
        <v>1.3261961739130437</v>
      </c>
      <c r="I10" s="326">
        <v>9.1470765634782611E-2</v>
      </c>
      <c r="J10" s="326">
        <v>0.50136994831539672</v>
      </c>
      <c r="K10" s="326">
        <v>3.9099999999999996E-2</v>
      </c>
      <c r="L10" s="326">
        <v>0.20726072746235455</v>
      </c>
      <c r="M10" s="326">
        <v>7.8671427985050349E-2</v>
      </c>
      <c r="N10" s="380">
        <v>1.1557147356548794</v>
      </c>
      <c r="O10" s="380">
        <v>5.0480833336501325</v>
      </c>
      <c r="P10" s="380">
        <v>17.261491621869354</v>
      </c>
      <c r="Q10" s="380">
        <v>21.546071933307097</v>
      </c>
      <c r="R10" s="380">
        <v>4.0050641051871123</v>
      </c>
      <c r="S10" s="380">
        <v>49.288944600400328</v>
      </c>
      <c r="T10" s="326">
        <v>0.16509673864395494</v>
      </c>
      <c r="U10" s="326">
        <v>8.272079087962339E-2</v>
      </c>
      <c r="V10" s="326">
        <v>0.67316789325851512</v>
      </c>
      <c r="W10" s="326">
        <v>3.9842829935693445</v>
      </c>
      <c r="X10" s="326">
        <v>0.25156411068994944</v>
      </c>
      <c r="Y10" s="326">
        <v>0.20374756806993044</v>
      </c>
      <c r="Z10" s="326">
        <v>0.20374756806993044</v>
      </c>
    </row>
    <row r="11" spans="1:26">
      <c r="A11" t="s">
        <v>522</v>
      </c>
      <c r="B11">
        <v>35</v>
      </c>
      <c r="C11" s="326">
        <v>9.4812142857142859E-2</v>
      </c>
      <c r="D11" s="326">
        <v>0.19326807139961705</v>
      </c>
      <c r="E11" s="326">
        <v>0.24915365465938585</v>
      </c>
      <c r="F11" s="326">
        <v>0.26194010573608756</v>
      </c>
      <c r="G11" s="380">
        <v>0.62680558123550467</v>
      </c>
      <c r="H11" s="380">
        <v>0.70379614814814828</v>
      </c>
      <c r="I11" s="326">
        <v>5.9852844325925927E-2</v>
      </c>
      <c r="J11" s="326">
        <v>0.45334168303935457</v>
      </c>
      <c r="K11" s="326">
        <v>3.9099999999999996E-2</v>
      </c>
      <c r="L11" s="326">
        <v>0.1873952304055842</v>
      </c>
      <c r="M11" s="326">
        <v>5.4205343439771819E-2</v>
      </c>
      <c r="N11" s="380">
        <v>1.3774550797475149</v>
      </c>
      <c r="O11" s="380">
        <v>4.2021129067393153</v>
      </c>
      <c r="P11" s="380">
        <v>17.924877366670366</v>
      </c>
      <c r="Q11" s="380">
        <v>21.727845232081037</v>
      </c>
      <c r="R11" s="380">
        <v>9.9509384039586841</v>
      </c>
      <c r="S11" s="380">
        <v>39.43773034680914</v>
      </c>
      <c r="T11" s="326">
        <v>-3.4454492585097411E-2</v>
      </c>
      <c r="U11" s="326">
        <v>4.6023650577475601E-2</v>
      </c>
      <c r="V11" s="326">
        <v>5.1108696532790175E-2</v>
      </c>
      <c r="W11" s="326">
        <v>0.41268110832528587</v>
      </c>
      <c r="X11" s="326">
        <v>0.28388872819714911</v>
      </c>
      <c r="Y11" s="326">
        <v>0.84899311893965923</v>
      </c>
      <c r="Z11" s="326">
        <v>0.84899311893965923</v>
      </c>
    </row>
    <row r="12" spans="1:26">
      <c r="A12" t="s">
        <v>523</v>
      </c>
      <c r="B12">
        <v>27</v>
      </c>
      <c r="C12" s="326">
        <v>8.1164285714285675E-2</v>
      </c>
      <c r="D12" s="326">
        <v>0.23454273260186811</v>
      </c>
      <c r="E12" s="326">
        <v>0.21378655366306393</v>
      </c>
      <c r="F12" s="326">
        <v>0.2858274969296643</v>
      </c>
      <c r="G12" s="380">
        <v>0.65097820976724075</v>
      </c>
      <c r="H12" s="380">
        <v>1.1196444800000001</v>
      </c>
      <c r="I12" s="326">
        <v>8.0977939584E-2</v>
      </c>
      <c r="J12" s="326">
        <v>0.52300831776904366</v>
      </c>
      <c r="K12" s="326">
        <v>3.9099999999999996E-2</v>
      </c>
      <c r="L12" s="326">
        <v>0.5286882853400201</v>
      </c>
      <c r="M12" s="326">
        <v>5.3876352642131337E-2</v>
      </c>
      <c r="N12" s="380">
        <v>1.1005045995342084</v>
      </c>
      <c r="O12" s="380">
        <v>2.8336461145306848</v>
      </c>
      <c r="P12" s="380">
        <v>9.185399093365838</v>
      </c>
      <c r="Q12" s="380">
        <v>12.0818612104888</v>
      </c>
      <c r="R12" s="380">
        <v>7.3378902441074585</v>
      </c>
      <c r="S12" s="380">
        <v>27.840393651771745</v>
      </c>
      <c r="T12" s="326">
        <v>0.22956183848398695</v>
      </c>
      <c r="U12" s="326">
        <v>2.6785461775451835E-2</v>
      </c>
      <c r="V12" s="326">
        <v>5.4938112173337543E-2</v>
      </c>
      <c r="W12" s="326">
        <v>0.435741850997513</v>
      </c>
      <c r="X12" s="326">
        <v>0.18105354523287587</v>
      </c>
      <c r="Y12" s="326">
        <v>0.40584288002901797</v>
      </c>
      <c r="Z12" s="326">
        <v>0.40584288002901792</v>
      </c>
    </row>
    <row r="13" spans="1:26">
      <c r="A13" t="s">
        <v>524</v>
      </c>
      <c r="B13">
        <v>42</v>
      </c>
      <c r="C13" s="326">
        <v>7.8212608695652164E-2</v>
      </c>
      <c r="D13" s="326">
        <v>1.0986436411171883E-3</v>
      </c>
      <c r="E13" s="326">
        <v>1.8221572666871376E-4</v>
      </c>
      <c r="F13" s="326">
        <v>0.28540771315792196</v>
      </c>
      <c r="G13" s="380">
        <v>0.5441746682636267</v>
      </c>
      <c r="H13" s="380">
        <v>1.2379532972972973</v>
      </c>
      <c r="I13" s="326">
        <v>8.6988027502702694E-2</v>
      </c>
      <c r="J13" s="326">
        <v>0.42480670510953039</v>
      </c>
      <c r="K13" s="326">
        <v>3.9099999999999996E-2</v>
      </c>
      <c r="L13" s="326">
        <v>0.68742548851503582</v>
      </c>
      <c r="M13" s="326">
        <v>4.7617776018410725E-2</v>
      </c>
      <c r="N13" s="380">
        <v>0.19332464920579581</v>
      </c>
      <c r="O13" s="380">
        <v>6.7457728327883579</v>
      </c>
      <c r="P13" s="380" t="s">
        <v>100</v>
      </c>
      <c r="Q13" s="380" t="s">
        <v>100</v>
      </c>
      <c r="R13" s="380">
        <v>1.5583716532147853</v>
      </c>
      <c r="S13" s="380">
        <v>47.562089388924953</v>
      </c>
      <c r="T13" s="326" t="s">
        <v>100</v>
      </c>
      <c r="U13" s="326">
        <v>4.0814990016501865E-2</v>
      </c>
      <c r="V13" s="326">
        <v>6.2576786307696197E-2</v>
      </c>
      <c r="W13" s="326">
        <v>453.97062525869899</v>
      </c>
      <c r="X13" s="326">
        <v>0.11412664564131066</v>
      </c>
      <c r="Y13" s="326">
        <v>0.20625381595007058</v>
      </c>
      <c r="Z13" s="326">
        <v>0.20625381595007064</v>
      </c>
    </row>
    <row r="14" spans="1:26">
      <c r="A14" t="s">
        <v>525</v>
      </c>
      <c r="B14">
        <v>39</v>
      </c>
      <c r="C14" s="326">
        <v>0.12734107142857143</v>
      </c>
      <c r="D14" s="326">
        <v>0.10326167882633668</v>
      </c>
      <c r="E14" s="326">
        <v>0.18274340530816907</v>
      </c>
      <c r="F14" s="326">
        <v>0.30032001187617879</v>
      </c>
      <c r="G14" s="380">
        <v>0.98593416861192995</v>
      </c>
      <c r="H14" s="380">
        <v>1.1089115294117649</v>
      </c>
      <c r="I14" s="326">
        <v>8.0432705694117645E-2</v>
      </c>
      <c r="J14" s="326">
        <v>0.41014735814818043</v>
      </c>
      <c r="K14" s="326">
        <v>3.9099999999999996E-2</v>
      </c>
      <c r="L14" s="326">
        <v>0.17666855643043097</v>
      </c>
      <c r="M14" s="326">
        <v>7.1472658512230863E-2</v>
      </c>
      <c r="N14" s="380">
        <v>2.3076895622242444</v>
      </c>
      <c r="O14" s="380">
        <v>1.7781238177383085</v>
      </c>
      <c r="P14" s="380">
        <v>12.797714594989426</v>
      </c>
      <c r="Q14" s="380">
        <v>17.224677541753572</v>
      </c>
      <c r="R14" s="380">
        <v>4.7670484950706866</v>
      </c>
      <c r="S14" s="380">
        <v>26.552311777493994</v>
      </c>
      <c r="T14" s="326">
        <v>0.15598884075169617</v>
      </c>
      <c r="U14" s="326">
        <v>2.9032455787885218E-2</v>
      </c>
      <c r="V14" s="326">
        <v>3.0570521627801026E-2</v>
      </c>
      <c r="W14" s="326">
        <v>0.54485795698864192</v>
      </c>
      <c r="X14" s="326">
        <v>0.23812242392212812</v>
      </c>
      <c r="Y14" s="326">
        <v>0.15291338833054774</v>
      </c>
      <c r="Z14" s="326">
        <v>0.15291338833054779</v>
      </c>
    </row>
    <row r="15" spans="1:26">
      <c r="A15" t="s">
        <v>526</v>
      </c>
      <c r="B15">
        <v>169</v>
      </c>
      <c r="C15" s="326">
        <v>5.1456849315068498E-2</v>
      </c>
      <c r="D15" s="326">
        <v>0.10525274984322219</v>
      </c>
      <c r="E15" s="326">
        <v>0.2636613562564103</v>
      </c>
      <c r="F15" s="326">
        <v>0.30962181882298401</v>
      </c>
      <c r="G15" s="380">
        <v>1.0067303638556147</v>
      </c>
      <c r="H15" s="380">
        <v>1.1687211594202902</v>
      </c>
      <c r="I15" s="326">
        <v>8.3471034898550733E-2</v>
      </c>
      <c r="J15" s="326">
        <v>0.49449374951606073</v>
      </c>
      <c r="K15" s="326">
        <v>3.9099999999999996E-2</v>
      </c>
      <c r="L15" s="326">
        <v>0.2152971765091071</v>
      </c>
      <c r="M15" s="326">
        <v>7.1897727661744237E-2</v>
      </c>
      <c r="N15" s="380">
        <v>2.8163256955189784</v>
      </c>
      <c r="O15" s="380">
        <v>1.9431738489696111</v>
      </c>
      <c r="P15" s="380">
        <v>12.400480755153422</v>
      </c>
      <c r="Q15" s="380">
        <v>18.292236260059479</v>
      </c>
      <c r="R15" s="380">
        <v>4.9491191614071459</v>
      </c>
      <c r="S15" s="380">
        <v>51.595932449145039</v>
      </c>
      <c r="T15" s="326">
        <v>0.16322114111781608</v>
      </c>
      <c r="U15" s="326">
        <v>2.4867815063764315E-2</v>
      </c>
      <c r="V15" s="326">
        <v>3.4798924920530577E-2</v>
      </c>
      <c r="W15" s="326">
        <v>0.64086754155270365</v>
      </c>
      <c r="X15" s="326">
        <v>0.18315929882796214</v>
      </c>
      <c r="Y15" s="326">
        <v>0.26333029708836198</v>
      </c>
      <c r="Z15" s="326">
        <v>0.26333029708836198</v>
      </c>
    </row>
    <row r="16" spans="1:26">
      <c r="A16" t="s">
        <v>527</v>
      </c>
      <c r="B16">
        <v>14</v>
      </c>
      <c r="C16" s="326">
        <v>0.11788125000000001</v>
      </c>
      <c r="D16" s="326">
        <v>0.18246761951587664</v>
      </c>
      <c r="E16" s="326">
        <v>0.127220642646932</v>
      </c>
      <c r="F16" s="326">
        <v>0.33563872214549745</v>
      </c>
      <c r="G16" s="380">
        <v>0.66746834478212691</v>
      </c>
      <c r="H16" s="380">
        <v>0.92090320000000003</v>
      </c>
      <c r="I16" s="326">
        <v>7.0881882559999998E-2</v>
      </c>
      <c r="J16" s="326">
        <v>0.36325755040348867</v>
      </c>
      <c r="K16" s="326">
        <v>3.61E-2</v>
      </c>
      <c r="L16" s="326">
        <v>0.34662154436309128</v>
      </c>
      <c r="M16" s="326">
        <v>5.5822603650835308E-2</v>
      </c>
      <c r="N16" s="380">
        <v>0.89651644730502333</v>
      </c>
      <c r="O16" s="380">
        <v>3.4373538415130533</v>
      </c>
      <c r="P16" s="380">
        <v>9.6808596575734924</v>
      </c>
      <c r="Q16" s="380">
        <v>18.262456636695699</v>
      </c>
      <c r="R16" s="380">
        <v>2.8042664854725654</v>
      </c>
      <c r="S16" s="380">
        <v>111.31451367422611</v>
      </c>
      <c r="T16" s="326">
        <v>-1.1222085828347746E-2</v>
      </c>
      <c r="U16" s="326">
        <v>0.12305374947484087</v>
      </c>
      <c r="V16" s="326">
        <v>-2.3988044638909668E-2</v>
      </c>
      <c r="W16" s="326">
        <v>-0.21328262740383494</v>
      </c>
      <c r="X16" s="326">
        <v>0.11054787152164626</v>
      </c>
      <c r="Y16" s="326">
        <v>0.33212022954805376</v>
      </c>
      <c r="Z16" s="326">
        <v>0.33212022954805376</v>
      </c>
    </row>
    <row r="17" spans="1:26">
      <c r="A17" t="s">
        <v>528</v>
      </c>
      <c r="B17">
        <v>38</v>
      </c>
      <c r="C17" s="326">
        <v>1.6253333333333328E-2</v>
      </c>
      <c r="D17" s="326">
        <v>0.10936001017072308</v>
      </c>
      <c r="E17" s="326">
        <v>0.14431255484817776</v>
      </c>
      <c r="F17" s="326">
        <v>0.23556839259877649</v>
      </c>
      <c r="G17" s="380">
        <v>0.96489988547058825</v>
      </c>
      <c r="H17" s="380">
        <v>1.1976210526315785</v>
      </c>
      <c r="I17" s="326">
        <v>8.4939149473684181E-2</v>
      </c>
      <c r="J17" s="326">
        <v>0.5939018407872767</v>
      </c>
      <c r="K17" s="326">
        <v>3.9099999999999996E-2</v>
      </c>
      <c r="L17" s="326">
        <v>0.2921626986864827</v>
      </c>
      <c r="M17" s="326">
        <v>6.8805005093485597E-2</v>
      </c>
      <c r="N17" s="380">
        <v>1.4619566241192159</v>
      </c>
      <c r="O17" s="380">
        <v>1.7593937879005495</v>
      </c>
      <c r="P17" s="380">
        <v>9.66699820653111</v>
      </c>
      <c r="Q17" s="380">
        <v>16.062965403914113</v>
      </c>
      <c r="R17" s="380">
        <v>3.4676332391188875</v>
      </c>
      <c r="S17" s="380">
        <v>38.304547727900854</v>
      </c>
      <c r="T17" s="326">
        <v>0.202696144874592</v>
      </c>
      <c r="U17" s="326">
        <v>5.4937422217901405E-2</v>
      </c>
      <c r="V17" s="326">
        <v>3.1258404517391057E-2</v>
      </c>
      <c r="W17" s="326">
        <v>0.47816613292908677</v>
      </c>
      <c r="X17" s="326">
        <v>0.18602095719723472</v>
      </c>
      <c r="Y17" s="326">
        <v>0.2728781235104773</v>
      </c>
      <c r="Z17" s="326">
        <v>0.27287812351047736</v>
      </c>
    </row>
    <row r="18" spans="1:26">
      <c r="A18" t="s">
        <v>529</v>
      </c>
      <c r="B18">
        <v>7</v>
      </c>
      <c r="C18" s="326">
        <v>-2.5430000000000001E-2</v>
      </c>
      <c r="D18" s="326">
        <v>0.12242868255969791</v>
      </c>
      <c r="E18" s="326">
        <v>0.16590600197532404</v>
      </c>
      <c r="F18" s="326">
        <v>0.222571570412047</v>
      </c>
      <c r="G18" s="380">
        <v>1.7946860305975219</v>
      </c>
      <c r="H18" s="380">
        <v>2.0339520000000002</v>
      </c>
      <c r="I18" s="326">
        <v>0.12742476160000002</v>
      </c>
      <c r="J18" s="326">
        <v>0.68622838192890223</v>
      </c>
      <c r="K18" s="326">
        <v>4.6600000000000003E-2</v>
      </c>
      <c r="L18" s="326">
        <v>0.21374720624399854</v>
      </c>
      <c r="M18" s="326">
        <v>0.10775814585802992</v>
      </c>
      <c r="N18" s="380">
        <v>1.5304583323466543</v>
      </c>
      <c r="O18" s="380">
        <v>2.8993910430486194</v>
      </c>
      <c r="P18" s="380">
        <v>15.832288275324883</v>
      </c>
      <c r="Q18" s="380">
        <v>24.092802231510959</v>
      </c>
      <c r="R18" s="380">
        <v>1.7377401545563502</v>
      </c>
      <c r="S18" s="380">
        <v>30.215486723401334</v>
      </c>
      <c r="T18" s="326">
        <v>0.34354390708535615</v>
      </c>
      <c r="U18" s="326">
        <v>5.995821299084373E-2</v>
      </c>
      <c r="V18" s="326">
        <v>-1.2108456953235454E-2</v>
      </c>
      <c r="W18" s="326">
        <v>-1.446180511231775E-2</v>
      </c>
      <c r="X18" s="326">
        <v>0.1420111670099263</v>
      </c>
      <c r="Y18" s="326">
        <v>0.58061388625696841</v>
      </c>
      <c r="Z18" s="326">
        <v>0.58061388625696841</v>
      </c>
    </row>
    <row r="19" spans="1:26">
      <c r="A19" t="s">
        <v>530</v>
      </c>
      <c r="B19">
        <v>99</v>
      </c>
      <c r="C19" s="326">
        <v>1.4687058823529411E-2</v>
      </c>
      <c r="D19" s="326">
        <v>0.13556744957264888</v>
      </c>
      <c r="E19" s="326">
        <v>0.16740059629441265</v>
      </c>
      <c r="F19" s="326">
        <v>0.22866809517112605</v>
      </c>
      <c r="G19" s="380">
        <v>0.94849956435812488</v>
      </c>
      <c r="H19" s="380">
        <v>1.1145862988505748</v>
      </c>
      <c r="I19" s="326">
        <v>8.0720983981609193E-2</v>
      </c>
      <c r="J19" s="326">
        <v>0.59686773150691852</v>
      </c>
      <c r="K19" s="326">
        <v>3.9099999999999996E-2</v>
      </c>
      <c r="L19" s="326">
        <v>0.22482998855392186</v>
      </c>
      <c r="M19" s="326">
        <v>6.9253534016831028E-2</v>
      </c>
      <c r="N19" s="380">
        <v>1.3659769095123069</v>
      </c>
      <c r="O19" s="380">
        <v>2.7905593968738973</v>
      </c>
      <c r="P19" s="380">
        <v>13.893471273061243</v>
      </c>
      <c r="Q19" s="380">
        <v>20.595830329466956</v>
      </c>
      <c r="R19" s="380">
        <v>4.1536923295953958</v>
      </c>
      <c r="S19" s="380">
        <v>165.87770683476504</v>
      </c>
      <c r="T19" s="326">
        <v>0.21485868005573105</v>
      </c>
      <c r="U19" s="326">
        <v>5.0428110516129693E-2</v>
      </c>
      <c r="V19" s="326">
        <v>0.10439770533973879</v>
      </c>
      <c r="W19" s="326">
        <v>1.0583969985967021</v>
      </c>
      <c r="X19" s="326">
        <v>0.16995623798241169</v>
      </c>
      <c r="Y19" s="326">
        <v>0.3978527444703579</v>
      </c>
      <c r="Z19" s="326">
        <v>0.3978527444703579</v>
      </c>
    </row>
    <row r="20" spans="1:26">
      <c r="A20" t="s">
        <v>531</v>
      </c>
      <c r="B20">
        <v>30</v>
      </c>
      <c r="C20" s="326">
        <v>-4.0905714285714288E-2</v>
      </c>
      <c r="D20" s="326">
        <v>8.7114765966415458E-2</v>
      </c>
      <c r="E20" s="326">
        <v>8.5314375936732162E-2</v>
      </c>
      <c r="F20" s="326">
        <v>4.8345834134666768E-2</v>
      </c>
      <c r="G20" s="380">
        <v>1.0423911214911201</v>
      </c>
      <c r="H20" s="380">
        <v>1.2487860000000002</v>
      </c>
      <c r="I20" s="326">
        <v>8.7538328800000009E-2</v>
      </c>
      <c r="J20" s="326">
        <v>0.90614735376578259</v>
      </c>
      <c r="K20" s="326">
        <v>8.1600000000000006E-2</v>
      </c>
      <c r="L20" s="326">
        <v>0.31231194864324591</v>
      </c>
      <c r="M20" s="326">
        <v>7.9567400558558377E-2</v>
      </c>
      <c r="N20" s="380">
        <v>1.0312085277483614</v>
      </c>
      <c r="O20" s="380">
        <v>1.012423159944593</v>
      </c>
      <c r="P20" s="380">
        <v>3.9282908554965892</v>
      </c>
      <c r="Q20" s="380">
        <v>9.2366475521821112</v>
      </c>
      <c r="R20" s="380">
        <v>2.0262335467103711</v>
      </c>
      <c r="S20" s="380">
        <v>1276.0219004571425</v>
      </c>
      <c r="T20" s="326">
        <v>4.3446110441173122E-2</v>
      </c>
      <c r="U20" s="326">
        <v>3.2597546527766391E-2</v>
      </c>
      <c r="V20" s="326">
        <v>-6.4574555279055479E-2</v>
      </c>
      <c r="W20" s="326">
        <v>-0.49883540888825989</v>
      </c>
      <c r="X20" s="326">
        <v>-6.4638686502423006</v>
      </c>
      <c r="Y20" s="326">
        <v>0.15728551034563384</v>
      </c>
      <c r="Z20" s="326">
        <v>0.15728551034563387</v>
      </c>
    </row>
    <row r="21" spans="1:26">
      <c r="A21" t="s">
        <v>532</v>
      </c>
      <c r="B21">
        <v>111</v>
      </c>
      <c r="C21" s="326">
        <v>0.15305092592592595</v>
      </c>
      <c r="D21" s="326">
        <v>8.3480737413988038E-2</v>
      </c>
      <c r="E21" s="326">
        <v>0.27960737590311713</v>
      </c>
      <c r="F21" s="326">
        <v>0.14346587553368154</v>
      </c>
      <c r="G21" s="380">
        <v>0.94403176532379973</v>
      </c>
      <c r="H21" s="380">
        <v>1.1013092473118284</v>
      </c>
      <c r="I21" s="326">
        <v>8.0046509763440882E-2</v>
      </c>
      <c r="J21" s="326">
        <v>0.48530569398662998</v>
      </c>
      <c r="K21" s="326">
        <v>3.9099999999999996E-2</v>
      </c>
      <c r="L21" s="326">
        <v>0.23565212101286745</v>
      </c>
      <c r="M21" s="326">
        <v>6.8186018386027197E-2</v>
      </c>
      <c r="N21" s="380">
        <v>3.6946039130102197</v>
      </c>
      <c r="O21" s="380">
        <v>1.3377809169497061</v>
      </c>
      <c r="P21" s="380">
        <v>11.099665603984972</v>
      </c>
      <c r="Q21" s="380">
        <v>16.092620851374065</v>
      </c>
      <c r="R21" s="380">
        <v>4.0372568513488609</v>
      </c>
      <c r="S21" s="380">
        <v>40.329456524881195</v>
      </c>
      <c r="T21" s="326">
        <v>0.1264866333898946</v>
      </c>
      <c r="U21" s="326">
        <v>1.9687814686365823E-2</v>
      </c>
      <c r="V21" s="326">
        <v>1.440333957590709E-2</v>
      </c>
      <c r="W21" s="326">
        <v>0.22996248335630518</v>
      </c>
      <c r="X21" s="326">
        <v>0.28662240638373276</v>
      </c>
      <c r="Y21" s="326">
        <v>0.38552173255619815</v>
      </c>
      <c r="Z21" s="326">
        <v>0.38552173255619815</v>
      </c>
    </row>
    <row r="22" spans="1:26">
      <c r="A22" t="s">
        <v>533</v>
      </c>
      <c r="B22">
        <v>58</v>
      </c>
      <c r="C22" s="326">
        <v>-2.6733333333333342E-2</v>
      </c>
      <c r="D22" s="326">
        <v>0.20009080628312645</v>
      </c>
      <c r="E22" s="326">
        <v>0.23859785285448615</v>
      </c>
      <c r="F22" s="326">
        <v>0.2400920977325614</v>
      </c>
      <c r="G22" s="380">
        <v>0.92832562744044655</v>
      </c>
      <c r="H22" s="380">
        <v>1.0096550769230772</v>
      </c>
      <c r="I22" s="326">
        <v>7.5390477907692321E-2</v>
      </c>
      <c r="J22" s="326">
        <v>0.61378482546818147</v>
      </c>
      <c r="K22" s="326">
        <v>3.9099999999999996E-2</v>
      </c>
      <c r="L22" s="326">
        <v>0.15375451359739653</v>
      </c>
      <c r="M22" s="326">
        <v>6.8367820773180057E-2</v>
      </c>
      <c r="N22" s="380">
        <v>1.2548327914833213</v>
      </c>
      <c r="O22" s="380">
        <v>3.0332971263837245</v>
      </c>
      <c r="P22" s="380">
        <v>12.011415397499693</v>
      </c>
      <c r="Q22" s="380">
        <v>15.232651704456243</v>
      </c>
      <c r="R22" s="380">
        <v>5.4205301441639984</v>
      </c>
      <c r="S22" s="380">
        <v>108.61447948163642</v>
      </c>
      <c r="T22" s="326">
        <v>-2.6207137634352725E-2</v>
      </c>
      <c r="U22" s="326">
        <v>4.6883850617701603E-2</v>
      </c>
      <c r="V22" s="326">
        <v>1.9926098191266686E-2</v>
      </c>
      <c r="W22" s="326">
        <v>3.0424576884912641E-2</v>
      </c>
      <c r="X22" s="326">
        <v>0.28549481335292731</v>
      </c>
      <c r="Y22" s="326">
        <v>0.28943953068942202</v>
      </c>
      <c r="Z22" s="326">
        <v>0.28943953068942196</v>
      </c>
    </row>
    <row r="23" spans="1:26">
      <c r="A23" t="s">
        <v>534</v>
      </c>
      <c r="B23">
        <v>49</v>
      </c>
      <c r="C23" s="326">
        <v>6.9450294117647068E-2</v>
      </c>
      <c r="D23" s="326">
        <v>9.6177099758765955E-2</v>
      </c>
      <c r="E23" s="326">
        <v>0.1058815095945073</v>
      </c>
      <c r="F23" s="326">
        <v>0.30820513411715889</v>
      </c>
      <c r="G23" s="380">
        <v>0.9525776924015863</v>
      </c>
      <c r="H23" s="380">
        <v>1.1206965714285719</v>
      </c>
      <c r="I23" s="326">
        <v>8.1031385828571445E-2</v>
      </c>
      <c r="J23" s="326">
        <v>0.45667986340616401</v>
      </c>
      <c r="K23" s="326">
        <v>3.9099999999999996E-2</v>
      </c>
      <c r="L23" s="326">
        <v>0.24509215482319405</v>
      </c>
      <c r="M23" s="326">
        <v>6.8454387340263281E-2</v>
      </c>
      <c r="N23" s="380">
        <v>1.3322952937056411</v>
      </c>
      <c r="O23" s="380">
        <v>2.1425435961839652</v>
      </c>
      <c r="P23" s="380">
        <v>14.508544481292025</v>
      </c>
      <c r="Q23" s="380">
        <v>22.182858273124079</v>
      </c>
      <c r="R23" s="380">
        <v>4.2103763106814416</v>
      </c>
      <c r="S23" s="380">
        <v>41.997046525944093</v>
      </c>
      <c r="T23" s="326">
        <v>0.15832179430909302</v>
      </c>
      <c r="U23" s="326">
        <v>5.5692687147223453E-2</v>
      </c>
      <c r="V23" s="326">
        <v>3.5426738101333871E-2</v>
      </c>
      <c r="W23" s="326">
        <v>0.67824624993640759</v>
      </c>
      <c r="X23" s="326">
        <v>0.13232904156020761</v>
      </c>
      <c r="Y23" s="326">
        <v>0.57629201824190834</v>
      </c>
      <c r="Z23" s="326">
        <v>0.57629201824190834</v>
      </c>
    </row>
    <row r="24" spans="1:26">
      <c r="A24" t="s">
        <v>535</v>
      </c>
      <c r="B24">
        <v>24</v>
      </c>
      <c r="C24" s="326">
        <v>2.8673333333333328E-2</v>
      </c>
      <c r="D24" s="326">
        <v>0.13006937360168683</v>
      </c>
      <c r="E24" s="326">
        <v>0.1097763752865651</v>
      </c>
      <c r="F24" s="326">
        <v>0.24049249160063843</v>
      </c>
      <c r="G24" s="380">
        <v>1.0135440097808579</v>
      </c>
      <c r="H24" s="380">
        <v>1.1944710588235292</v>
      </c>
      <c r="I24" s="326">
        <v>8.4779129788235277E-2</v>
      </c>
      <c r="J24" s="326">
        <v>0.26823043464696794</v>
      </c>
      <c r="K24" s="326">
        <v>3.61E-2</v>
      </c>
      <c r="L24" s="326">
        <v>0.2452085583232908</v>
      </c>
      <c r="M24" s="326">
        <v>7.0718103603116755E-2</v>
      </c>
      <c r="N24" s="380">
        <v>0.95944434798558986</v>
      </c>
      <c r="O24" s="380">
        <v>2.6230193570937446</v>
      </c>
      <c r="P24" s="380">
        <v>14.685697722014694</v>
      </c>
      <c r="Q24" s="380">
        <v>20.256101702672783</v>
      </c>
      <c r="R24" s="380">
        <v>2.0356364173015282</v>
      </c>
      <c r="S24" s="380">
        <v>25.959979965064598</v>
      </c>
      <c r="T24" s="326">
        <v>0.14412883279938052</v>
      </c>
      <c r="U24" s="326">
        <v>4.8417404955415931E-2</v>
      </c>
      <c r="V24" s="326">
        <v>3.8843875940599404E-2</v>
      </c>
      <c r="W24" s="326">
        <v>0.41674829695807497</v>
      </c>
      <c r="X24" s="326">
        <v>9.5888756586275409E-2</v>
      </c>
      <c r="Y24" s="326">
        <v>0.35252718577957753</v>
      </c>
      <c r="Z24" s="326">
        <v>0.35252718577957753</v>
      </c>
    </row>
    <row r="25" spans="1:26">
      <c r="A25" t="s">
        <v>536</v>
      </c>
      <c r="B25">
        <v>459</v>
      </c>
      <c r="C25" s="326">
        <v>0.32284351999999999</v>
      </c>
      <c r="D25" s="326">
        <v>0.26170413635597983</v>
      </c>
      <c r="E25" s="326">
        <v>0.11597451985107489</v>
      </c>
      <c r="F25" s="326">
        <v>0.20664395056797494</v>
      </c>
      <c r="G25" s="380">
        <v>1.356530917137498</v>
      </c>
      <c r="H25" s="380">
        <v>1.4397417229219145</v>
      </c>
      <c r="I25" s="326">
        <v>9.7238879524433247E-2</v>
      </c>
      <c r="J25" s="326">
        <v>0.94780627211676105</v>
      </c>
      <c r="K25" s="326">
        <v>8.1600000000000006E-2</v>
      </c>
      <c r="L25" s="326">
        <v>0.13668677473187019</v>
      </c>
      <c r="M25" s="326">
        <v>9.2424377725469242E-2</v>
      </c>
      <c r="N25" s="380">
        <v>0.44897851819283108</v>
      </c>
      <c r="O25" s="380">
        <v>7.6978720923492494</v>
      </c>
      <c r="P25" s="380">
        <v>13.051547138523908</v>
      </c>
      <c r="Q25" s="380">
        <v>24.218971853223948</v>
      </c>
      <c r="R25" s="380">
        <v>6.2006090536974172</v>
      </c>
      <c r="S25" s="380">
        <v>69.610534981048886</v>
      </c>
      <c r="T25" s="326">
        <v>0.14849926135936481</v>
      </c>
      <c r="U25" s="326">
        <v>3.9386458851717474E-2</v>
      </c>
      <c r="V25" s="326">
        <v>9.9002589899939136E-3</v>
      </c>
      <c r="W25" s="326">
        <v>9.8279408386796191E-2</v>
      </c>
      <c r="X25" s="326">
        <v>0.13445968971926867</v>
      </c>
      <c r="Y25" s="326">
        <v>0.6025514918188829</v>
      </c>
      <c r="Z25" s="326">
        <v>0.6025514918188829</v>
      </c>
    </row>
    <row r="26" spans="1:26">
      <c r="A26" t="s">
        <v>537</v>
      </c>
      <c r="B26">
        <v>185</v>
      </c>
      <c r="C26" s="326">
        <v>0.28077254901960791</v>
      </c>
      <c r="D26" s="326">
        <v>0.25214523130761446</v>
      </c>
      <c r="E26" s="326">
        <v>0.17683207506584858</v>
      </c>
      <c r="F26" s="326">
        <v>0.19404550223323053</v>
      </c>
      <c r="G26" s="380">
        <v>1.1295686400812541</v>
      </c>
      <c r="H26" s="380">
        <v>1.2093351946308735</v>
      </c>
      <c r="I26" s="326">
        <v>8.5534227887248376E-2</v>
      </c>
      <c r="J26" s="326">
        <v>0.85704121729037708</v>
      </c>
      <c r="K26" s="326">
        <v>6.9099999999999995E-2</v>
      </c>
      <c r="L26" s="326">
        <v>0.12762315204057886</v>
      </c>
      <c r="M26" s="326">
        <v>8.1320337569483592E-2</v>
      </c>
      <c r="N26" s="380">
        <v>0.71547909999828729</v>
      </c>
      <c r="O26" s="380">
        <v>5.0791894506825948</v>
      </c>
      <c r="P26" s="380">
        <v>14.448735274468474</v>
      </c>
      <c r="Q26" s="380">
        <v>20.731247962345652</v>
      </c>
      <c r="R26" s="380">
        <v>4.8453511803209866</v>
      </c>
      <c r="S26" s="380">
        <v>366.68512118025086</v>
      </c>
      <c r="T26" s="326">
        <v>0.22582762096509007</v>
      </c>
      <c r="U26" s="326">
        <v>4.3435978748074325E-2</v>
      </c>
      <c r="V26" s="326">
        <v>0.16271587488249067</v>
      </c>
      <c r="W26" s="326">
        <v>0.81488321535483355</v>
      </c>
      <c r="X26" s="326">
        <v>0.14387077731348052</v>
      </c>
      <c r="Y26" s="326">
        <v>0.83543163174010937</v>
      </c>
      <c r="Z26" s="326">
        <v>0.83543163174010937</v>
      </c>
    </row>
    <row r="27" spans="1:26">
      <c r="A27" t="s">
        <v>538</v>
      </c>
      <c r="B27">
        <v>34</v>
      </c>
      <c r="C27" s="326">
        <v>-2.4248333333333337E-2</v>
      </c>
      <c r="D27" s="326">
        <v>8.2570942793648766E-2</v>
      </c>
      <c r="E27" s="326">
        <v>0.11467007685863126</v>
      </c>
      <c r="F27" s="326">
        <v>0.26748150691480582</v>
      </c>
      <c r="G27" s="380">
        <v>0.95816165213647664</v>
      </c>
      <c r="H27" s="380">
        <v>1.1532870000000002</v>
      </c>
      <c r="I27" s="326">
        <v>8.2686979600000002E-2</v>
      </c>
      <c r="J27" s="326">
        <v>0.53589444325058544</v>
      </c>
      <c r="K27" s="326">
        <v>3.9099999999999996E-2</v>
      </c>
      <c r="L27" s="326">
        <v>0.27967831456440534</v>
      </c>
      <c r="M27" s="326">
        <v>6.7872145304646497E-2</v>
      </c>
      <c r="N27" s="380">
        <v>1.5120663231018099</v>
      </c>
      <c r="O27" s="380">
        <v>1.8660583686363723</v>
      </c>
      <c r="P27" s="380">
        <v>10.048510261927769</v>
      </c>
      <c r="Q27" s="380">
        <v>21.581270748676506</v>
      </c>
      <c r="R27" s="380">
        <v>2.3299064761383996</v>
      </c>
      <c r="S27" s="380">
        <v>32.347630117990953</v>
      </c>
      <c r="T27" s="326">
        <v>0.10559764207656591</v>
      </c>
      <c r="U27" s="326">
        <v>4.4001800940754579E-2</v>
      </c>
      <c r="V27" s="326">
        <v>3.2817315661696225E-2</v>
      </c>
      <c r="W27" s="326">
        <v>0.62839982770770353</v>
      </c>
      <c r="X27" s="326">
        <v>2.5961148133694122E-2</v>
      </c>
      <c r="Y27" s="326">
        <v>0.29685229628904031</v>
      </c>
      <c r="Z27" s="326">
        <v>0.29685229628904031</v>
      </c>
    </row>
    <row r="28" spans="1:26">
      <c r="A28" t="s">
        <v>539</v>
      </c>
      <c r="B28">
        <v>118</v>
      </c>
      <c r="C28" s="326">
        <v>-2.1368163265306134E-2</v>
      </c>
      <c r="D28" s="326">
        <v>0.11995038833715335</v>
      </c>
      <c r="E28" s="326">
        <v>0.2188365814552507</v>
      </c>
      <c r="F28" s="326">
        <v>0.2779858515245951</v>
      </c>
      <c r="G28" s="380">
        <v>1.0244695712358811</v>
      </c>
      <c r="H28" s="380">
        <v>1.0848479230769237</v>
      </c>
      <c r="I28" s="326">
        <v>7.921027449230772E-2</v>
      </c>
      <c r="J28" s="326">
        <v>0.66165257285772261</v>
      </c>
      <c r="K28" s="326">
        <v>4.6600000000000003E-2</v>
      </c>
      <c r="L28" s="326">
        <v>0.13683395435722279</v>
      </c>
      <c r="M28" s="326">
        <v>7.3217730735319606E-2</v>
      </c>
      <c r="N28" s="380">
        <v>1.9207529099236615</v>
      </c>
      <c r="O28" s="380">
        <v>2.4784693439259424</v>
      </c>
      <c r="P28" s="380">
        <v>13.977399445019261</v>
      </c>
      <c r="Q28" s="380">
        <v>19.890726139727281</v>
      </c>
      <c r="R28" s="380">
        <v>4.3053059077044615</v>
      </c>
      <c r="S28" s="380">
        <v>23.652056002825354</v>
      </c>
      <c r="T28" s="326">
        <v>0.19901990888324544</v>
      </c>
      <c r="U28" s="326">
        <v>4.4312859481990076E-2</v>
      </c>
      <c r="V28" s="326">
        <v>8.5824036288174144E-2</v>
      </c>
      <c r="W28" s="326">
        <v>1.0231420988487945</v>
      </c>
      <c r="X28" s="326">
        <v>0.13542021783755584</v>
      </c>
      <c r="Y28" s="326">
        <v>0.57587012623705702</v>
      </c>
      <c r="Z28" s="326">
        <v>0.57587012623705702</v>
      </c>
    </row>
    <row r="29" spans="1:26">
      <c r="A29" t="s">
        <v>540</v>
      </c>
      <c r="B29">
        <v>24</v>
      </c>
      <c r="C29" s="326">
        <v>-4.8800000000000059E-3</v>
      </c>
      <c r="D29" s="326">
        <v>-4.1745544951937261E-2</v>
      </c>
      <c r="E29" s="326">
        <v>-5.5411196987165984E-2</v>
      </c>
      <c r="F29" s="326">
        <v>0.32278797996661102</v>
      </c>
      <c r="G29" s="380">
        <v>1.0791543873676892</v>
      </c>
      <c r="H29" s="380">
        <v>1.092384761904762</v>
      </c>
      <c r="I29" s="326">
        <v>7.9593145904761908E-2</v>
      </c>
      <c r="J29" s="326">
        <v>0.70222244335200168</v>
      </c>
      <c r="K29" s="326">
        <v>4.6600000000000003E-2</v>
      </c>
      <c r="L29" s="326">
        <v>6.4905326037728528E-2</v>
      </c>
      <c r="M29" s="326">
        <v>7.672581384639704E-2</v>
      </c>
      <c r="N29" s="380">
        <v>1.3944307598827406</v>
      </c>
      <c r="O29" s="380">
        <v>2.520170595340721</v>
      </c>
      <c r="P29" s="380">
        <v>17.172528416524827</v>
      </c>
      <c r="Q29" s="380" t="s">
        <v>100</v>
      </c>
      <c r="R29" s="380">
        <v>7.9107648831597999</v>
      </c>
      <c r="S29" s="380">
        <v>79.937559264016897</v>
      </c>
      <c r="T29" s="326">
        <v>0.19755460059814439</v>
      </c>
      <c r="U29" s="326">
        <v>3.1422358452643219E-2</v>
      </c>
      <c r="V29" s="326">
        <v>-1.2532991891135729E-3</v>
      </c>
      <c r="W29" s="326" t="s">
        <v>100</v>
      </c>
      <c r="X29" s="326">
        <v>-0.29603470433374973</v>
      </c>
      <c r="Y29" s="326">
        <v>1.7780748663101607E-3</v>
      </c>
      <c r="Z29" s="326">
        <v>1.7780748663102086E-3</v>
      </c>
    </row>
    <row r="30" spans="1:26">
      <c r="A30" t="s">
        <v>541</v>
      </c>
      <c r="B30">
        <v>167</v>
      </c>
      <c r="C30" s="326">
        <v>6.8428558558558561E-2</v>
      </c>
      <c r="D30" s="326">
        <v>9.809807989742822E-2</v>
      </c>
      <c r="E30" s="326">
        <v>0.1355253853322213</v>
      </c>
      <c r="F30" s="326">
        <v>0.25985153515285897</v>
      </c>
      <c r="G30" s="380">
        <v>0.91332212369413268</v>
      </c>
      <c r="H30" s="380">
        <v>0.93790062337662305</v>
      </c>
      <c r="I30" s="326">
        <v>7.1745351667532445E-2</v>
      </c>
      <c r="J30" s="326">
        <v>0.60247419004277125</v>
      </c>
      <c r="K30" s="326">
        <v>3.9099999999999996E-2</v>
      </c>
      <c r="L30" s="326">
        <v>0.13021821572631909</v>
      </c>
      <c r="M30" s="326">
        <v>6.6272364485252366E-2</v>
      </c>
      <c r="N30" s="380">
        <v>1.5026639992275732</v>
      </c>
      <c r="O30" s="380">
        <v>2.1188319410876901</v>
      </c>
      <c r="P30" s="380">
        <v>13.16329528818911</v>
      </c>
      <c r="Q30" s="380">
        <v>21.932010099246657</v>
      </c>
      <c r="R30" s="380">
        <v>3.044088879089216</v>
      </c>
      <c r="S30" s="380">
        <v>182.29977513069738</v>
      </c>
      <c r="T30" s="326">
        <v>0.18576292972152159</v>
      </c>
      <c r="U30" s="326">
        <v>4.6978800118334003E-2</v>
      </c>
      <c r="V30" s="326">
        <v>7.7241951950662982E-2</v>
      </c>
      <c r="W30" s="326">
        <v>1.2201645487529122</v>
      </c>
      <c r="X30" s="326">
        <v>0.11298554631347243</v>
      </c>
      <c r="Y30" s="326">
        <v>0.20224852392967493</v>
      </c>
      <c r="Z30" s="326">
        <v>0.20224852392967496</v>
      </c>
    </row>
    <row r="31" spans="1:26">
      <c r="A31" t="s">
        <v>542</v>
      </c>
      <c r="B31">
        <v>49</v>
      </c>
      <c r="C31" s="326">
        <v>9.6434333333333302E-2</v>
      </c>
      <c r="D31" s="326">
        <v>4.2794154357580119E-2</v>
      </c>
      <c r="E31" s="326">
        <v>0.18434869129754181</v>
      </c>
      <c r="F31" s="326">
        <v>0.30555208393884786</v>
      </c>
      <c r="G31" s="380">
        <v>1.1280526539619411</v>
      </c>
      <c r="H31" s="380">
        <v>1.2703169777777779</v>
      </c>
      <c r="I31" s="326">
        <v>8.8632102471111113E-2</v>
      </c>
      <c r="J31" s="326">
        <v>0.53019913455460199</v>
      </c>
      <c r="K31" s="326">
        <v>3.9099999999999996E-2</v>
      </c>
      <c r="L31" s="326">
        <v>0.22908319569227445</v>
      </c>
      <c r="M31" s="326">
        <v>7.5135413439295459E-2</v>
      </c>
      <c r="N31" s="380">
        <v>4.9740445489705811</v>
      </c>
      <c r="O31" s="380">
        <v>0.69480008937275062</v>
      </c>
      <c r="P31" s="380">
        <v>9.9208190726176948</v>
      </c>
      <c r="Q31" s="380">
        <v>16.11335969831563</v>
      </c>
      <c r="R31" s="380">
        <v>2.0773799521378495</v>
      </c>
      <c r="S31" s="380">
        <v>33.839980924413268</v>
      </c>
      <c r="T31" s="326">
        <v>0.15065426764408152</v>
      </c>
      <c r="U31" s="326">
        <v>1.6176326639175141E-2</v>
      </c>
      <c r="V31" s="326">
        <v>1.3082672770639882E-2</v>
      </c>
      <c r="W31" s="326">
        <v>0.61052348612494434</v>
      </c>
      <c r="X31" s="326">
        <v>7.7080740628294148E-2</v>
      </c>
      <c r="Y31" s="326">
        <v>0.16894438855093152</v>
      </c>
      <c r="Z31" s="326">
        <v>0.16894438855093152</v>
      </c>
    </row>
    <row r="32" spans="1:26">
      <c r="A32" t="s">
        <v>543</v>
      </c>
      <c r="B32">
        <v>90</v>
      </c>
      <c r="C32" s="326">
        <v>3.3348636363636358E-2</v>
      </c>
      <c r="D32" s="326">
        <v>0.20721250683215522</v>
      </c>
      <c r="E32" s="326">
        <v>0.31108160448399386</v>
      </c>
      <c r="F32" s="326">
        <v>0.2921410896114271</v>
      </c>
      <c r="G32" s="380">
        <v>0.95716683157974236</v>
      </c>
      <c r="H32" s="380">
        <v>1.1517724137931034</v>
      </c>
      <c r="I32" s="326">
        <v>8.2610038620689649E-2</v>
      </c>
      <c r="J32" s="326">
        <v>0.5493693393481448</v>
      </c>
      <c r="K32" s="326">
        <v>3.9099999999999996E-2</v>
      </c>
      <c r="L32" s="326">
        <v>0.25228094937136519</v>
      </c>
      <c r="M32" s="326">
        <v>6.9265880341376415E-2</v>
      </c>
      <c r="N32" s="380">
        <v>1.5877528771333678</v>
      </c>
      <c r="O32" s="380">
        <v>2.8738858326871219</v>
      </c>
      <c r="P32" s="380">
        <v>10.584346846852632</v>
      </c>
      <c r="Q32" s="380">
        <v>13.807928832609347</v>
      </c>
      <c r="R32" s="380">
        <v>3.0506231344770298</v>
      </c>
      <c r="S32" s="380">
        <v>70.065608962496469</v>
      </c>
      <c r="T32" s="326">
        <v>0.10586515627231231</v>
      </c>
      <c r="U32" s="326">
        <v>4.3433290246230875E-2</v>
      </c>
      <c r="V32" s="326">
        <v>4.2730804113703662E-2</v>
      </c>
      <c r="W32" s="326">
        <v>0.85177455119869772</v>
      </c>
      <c r="X32" s="326">
        <v>0.18985278640312561</v>
      </c>
      <c r="Y32" s="326">
        <v>0.29810124689985484</v>
      </c>
      <c r="Z32" s="326">
        <v>0.29810124689985484</v>
      </c>
    </row>
    <row r="33" spans="1:26">
      <c r="A33" t="s">
        <v>544</v>
      </c>
      <c r="B33">
        <v>87</v>
      </c>
      <c r="C33" s="326">
        <v>0.15919612903225802</v>
      </c>
      <c r="D33" s="326">
        <v>0.12538692620046901</v>
      </c>
      <c r="E33" s="326">
        <v>0.21281666656778458</v>
      </c>
      <c r="F33" s="326">
        <v>0.35708020604793261</v>
      </c>
      <c r="G33" s="380">
        <v>0.69977481842592981</v>
      </c>
      <c r="H33" s="380">
        <v>0.87699722222222221</v>
      </c>
      <c r="I33" s="326">
        <v>6.8651458888888892E-2</v>
      </c>
      <c r="J33" s="326">
        <v>0.65736792637714569</v>
      </c>
      <c r="K33" s="326">
        <v>4.6600000000000003E-2</v>
      </c>
      <c r="L33" s="326">
        <v>0.25853846905382144</v>
      </c>
      <c r="M33" s="326">
        <v>6.0058814229454333E-2</v>
      </c>
      <c r="N33" s="380">
        <v>1.7763236718430828</v>
      </c>
      <c r="O33" s="380">
        <v>2.6252536850613644</v>
      </c>
      <c r="P33" s="380">
        <v>11.833228645198382</v>
      </c>
      <c r="Q33" s="380">
        <v>20.798908689136923</v>
      </c>
      <c r="R33" s="380">
        <v>4.0984722792683144</v>
      </c>
      <c r="S33" s="380">
        <v>132.15099315523702</v>
      </c>
      <c r="T33" s="326">
        <v>0.10128194647808579</v>
      </c>
      <c r="U33" s="326">
        <v>7.0820022202619348E-2</v>
      </c>
      <c r="V33" s="326">
        <v>2.3358351127411438E-2</v>
      </c>
      <c r="W33" s="326">
        <v>0.28487947949440429</v>
      </c>
      <c r="X33" s="326">
        <v>9.4698444948316168E-2</v>
      </c>
      <c r="Y33" s="326">
        <v>0.71145394973291953</v>
      </c>
      <c r="Z33" s="326">
        <v>0.71145394973291953</v>
      </c>
    </row>
    <row r="34" spans="1:26">
      <c r="A34" t="s">
        <v>545</v>
      </c>
      <c r="B34">
        <v>34</v>
      </c>
      <c r="C34" s="326">
        <v>0.13077176470588237</v>
      </c>
      <c r="D34" s="326">
        <v>4.5010380317422015E-2</v>
      </c>
      <c r="E34" s="326">
        <v>7.1386551883665023E-2</v>
      </c>
      <c r="F34" s="326">
        <v>0.2768517779448853</v>
      </c>
      <c r="G34" s="380">
        <v>0.55737082155423068</v>
      </c>
      <c r="H34" s="380">
        <v>0.74491013333333334</v>
      </c>
      <c r="I34" s="326">
        <v>6.1941434773333331E-2</v>
      </c>
      <c r="J34" s="326">
        <v>0.42567989882483803</v>
      </c>
      <c r="K34" s="326">
        <v>3.9099999999999996E-2</v>
      </c>
      <c r="L34" s="326">
        <v>0.3570600259274968</v>
      </c>
      <c r="M34" s="326">
        <v>5.0435020197642073E-2</v>
      </c>
      <c r="N34" s="380">
        <v>1.7179415926745232</v>
      </c>
      <c r="O34" s="380">
        <v>1.0199034743834257</v>
      </c>
      <c r="P34" s="380">
        <v>13.818299820508807</v>
      </c>
      <c r="Q34" s="380">
        <v>22.601545332977309</v>
      </c>
      <c r="R34" s="380">
        <v>2.4208634849707993</v>
      </c>
      <c r="S34" s="380">
        <v>23.276807176415904</v>
      </c>
      <c r="T34" s="326">
        <v>0.1028589052871561</v>
      </c>
      <c r="U34" s="326">
        <v>3.324473051766396E-2</v>
      </c>
      <c r="V34" s="326">
        <v>2.3777333572980459E-2</v>
      </c>
      <c r="W34" s="326">
        <v>1.0696274348773551</v>
      </c>
      <c r="X34" s="326">
        <v>0.12095080157187631</v>
      </c>
      <c r="Y34" s="326">
        <v>0.40751985730687523</v>
      </c>
      <c r="Z34" s="326">
        <v>0.40751985730687523</v>
      </c>
    </row>
    <row r="35" spans="1:26">
      <c r="A35" t="s">
        <v>546</v>
      </c>
      <c r="B35">
        <v>264</v>
      </c>
      <c r="C35" s="326">
        <v>0.10352006097560972</v>
      </c>
      <c r="D35" s="326">
        <v>7.386787347572181E-2</v>
      </c>
      <c r="E35" s="326">
        <v>2.0540100826457069E-3</v>
      </c>
      <c r="F35" s="326">
        <v>0.33105595742428401</v>
      </c>
      <c r="G35" s="380">
        <v>7.0289080325756217E-2</v>
      </c>
      <c r="H35" s="380">
        <v>0.60687176859504155</v>
      </c>
      <c r="I35" s="326">
        <v>5.4929085844628106E-2</v>
      </c>
      <c r="J35" s="326">
        <v>0.3663335193266925</v>
      </c>
      <c r="K35" s="326">
        <v>3.61E-2</v>
      </c>
      <c r="L35" s="326">
        <v>0.91167541540936814</v>
      </c>
      <c r="M35" s="326">
        <v>2.9864315386341361E-2</v>
      </c>
      <c r="N35" s="380">
        <v>3.4589817970381846E-2</v>
      </c>
      <c r="O35" s="380">
        <v>31.180550992003841</v>
      </c>
      <c r="P35" s="380" t="s">
        <v>100</v>
      </c>
      <c r="Q35" s="380" t="s">
        <v>100</v>
      </c>
      <c r="R35" s="380">
        <v>2.2045008006280566</v>
      </c>
      <c r="S35" s="380">
        <v>31.9919344241762</v>
      </c>
      <c r="T35" s="326" t="s">
        <v>100</v>
      </c>
      <c r="U35" s="326">
        <v>7.1181357842835719E-2</v>
      </c>
      <c r="V35" s="326">
        <v>0.11691985540902013</v>
      </c>
      <c r="W35" s="326">
        <v>2.1631271640203216</v>
      </c>
      <c r="X35" s="326">
        <v>-2.869118837539225E-3</v>
      </c>
      <c r="Y35" s="326">
        <v>0.15294959986274523</v>
      </c>
      <c r="Z35" s="326">
        <v>0.15294959986274526</v>
      </c>
    </row>
    <row r="36" spans="1:26">
      <c r="A36" t="s">
        <v>547</v>
      </c>
      <c r="B36">
        <v>87</v>
      </c>
      <c r="C36" s="326">
        <v>4.1166428571428569E-2</v>
      </c>
      <c r="D36" s="326">
        <v>0.1421139955494749</v>
      </c>
      <c r="E36" s="326">
        <v>0.19710222388402801</v>
      </c>
      <c r="F36" s="326">
        <v>0.28578164133668255</v>
      </c>
      <c r="G36" s="380">
        <v>0.55631901720276644</v>
      </c>
      <c r="H36" s="380">
        <v>0.6757656842105263</v>
      </c>
      <c r="I36" s="326">
        <v>5.8428896757894741E-2</v>
      </c>
      <c r="J36" s="326">
        <v>0.41184292964286978</v>
      </c>
      <c r="K36" s="326">
        <v>3.9099999999999996E-2</v>
      </c>
      <c r="L36" s="326">
        <v>0.23557440845253994</v>
      </c>
      <c r="M36" s="326">
        <v>5.1664873089194832E-2</v>
      </c>
      <c r="N36" s="380">
        <v>1.6341833041868687</v>
      </c>
      <c r="O36" s="380">
        <v>2.4165274915596422</v>
      </c>
      <c r="P36" s="380">
        <v>13.379213322693204</v>
      </c>
      <c r="Q36" s="380">
        <v>16.915702948769031</v>
      </c>
      <c r="R36" s="380">
        <v>2.8778619285107636</v>
      </c>
      <c r="S36" s="380">
        <v>100.8470811608433</v>
      </c>
      <c r="T36" s="326">
        <v>7.3180421111702601E-2</v>
      </c>
      <c r="U36" s="326">
        <v>3.6791625445655188E-2</v>
      </c>
      <c r="V36" s="326">
        <v>6.9987014516056864E-2</v>
      </c>
      <c r="W36" s="326">
        <v>0.68649982540342103</v>
      </c>
      <c r="X36" s="326">
        <v>0.11540232268495351</v>
      </c>
      <c r="Y36" s="326">
        <v>0.58833930890898112</v>
      </c>
      <c r="Z36" s="326">
        <v>0.58833930890898112</v>
      </c>
    </row>
    <row r="37" spans="1:26">
      <c r="A37" t="s">
        <v>548</v>
      </c>
      <c r="B37">
        <v>15</v>
      </c>
      <c r="C37" s="326">
        <v>8.8649999999999979E-2</v>
      </c>
      <c r="D37" s="326">
        <v>2.9779207103556065E-2</v>
      </c>
      <c r="E37" s="326">
        <v>0.1996331991717597</v>
      </c>
      <c r="F37" s="326">
        <v>0.33715279395096803</v>
      </c>
      <c r="G37" s="380">
        <v>1.4147585160608243</v>
      </c>
      <c r="H37" s="380">
        <v>1.7856129230769233</v>
      </c>
      <c r="I37" s="326">
        <v>0.1148091364923077</v>
      </c>
      <c r="J37" s="326">
        <v>0.55419287424397412</v>
      </c>
      <c r="K37" s="326">
        <v>3.9099999999999996E-2</v>
      </c>
      <c r="L37" s="326">
        <v>0.2725105917389819</v>
      </c>
      <c r="M37" s="326">
        <v>9.162035551386298E-2</v>
      </c>
      <c r="N37" s="380">
        <v>7.6101447060746246</v>
      </c>
      <c r="O37" s="380">
        <v>0.52929230034670183</v>
      </c>
      <c r="P37" s="380">
        <v>11.625092449990715</v>
      </c>
      <c r="Q37" s="380">
        <v>17.75723648779022</v>
      </c>
      <c r="R37" s="380">
        <v>4.9959001098285771</v>
      </c>
      <c r="S37" s="380">
        <v>25.876544379978196</v>
      </c>
      <c r="T37" s="326">
        <v>6.4230469455613476E-2</v>
      </c>
      <c r="U37" s="326">
        <v>1.101169290364017E-2</v>
      </c>
      <c r="V37" s="326">
        <v>4.2873032226987181E-3</v>
      </c>
      <c r="W37" s="326">
        <v>0.35207389677692491</v>
      </c>
      <c r="X37" s="326">
        <v>0.1664447213018114</v>
      </c>
      <c r="Y37" s="326">
        <v>0.46220797553155774</v>
      </c>
      <c r="Z37" s="326">
        <v>0.46220797553155779</v>
      </c>
    </row>
    <row r="38" spans="1:26">
      <c r="A38" t="s">
        <v>549</v>
      </c>
      <c r="B38">
        <v>31</v>
      </c>
      <c r="C38" s="326">
        <v>9.9547999999999984E-2</v>
      </c>
      <c r="D38" s="326">
        <v>9.4798902559396159E-2</v>
      </c>
      <c r="E38" s="326">
        <v>0.1756086642171551</v>
      </c>
      <c r="F38" s="326">
        <v>0.23323141251646043</v>
      </c>
      <c r="G38" s="380">
        <v>0.67368656968976759</v>
      </c>
      <c r="H38" s="380">
        <v>0.79009285714285704</v>
      </c>
      <c r="I38" s="326">
        <v>6.4236717142857142E-2</v>
      </c>
      <c r="J38" s="326">
        <v>0.51258554901599895</v>
      </c>
      <c r="K38" s="326">
        <v>3.9099999999999996E-2</v>
      </c>
      <c r="L38" s="326">
        <v>0.21791684368047898</v>
      </c>
      <c r="M38" s="326">
        <v>5.6714071421499104E-2</v>
      </c>
      <c r="N38" s="380">
        <v>2.1166070731360653</v>
      </c>
      <c r="O38" s="380">
        <v>1.4095204518464266</v>
      </c>
      <c r="P38" s="380">
        <v>10.376679045960501</v>
      </c>
      <c r="Q38" s="380">
        <v>14.894158715339</v>
      </c>
      <c r="R38" s="380">
        <v>2.9801264430051977</v>
      </c>
      <c r="S38" s="380">
        <v>90.857391282429006</v>
      </c>
      <c r="T38" s="326">
        <v>0.12870840064550704</v>
      </c>
      <c r="U38" s="326">
        <v>4.2158710006431767E-2</v>
      </c>
      <c r="V38" s="326">
        <v>3.6439922114834052E-2</v>
      </c>
      <c r="W38" s="326">
        <v>0.59896224658005615</v>
      </c>
      <c r="X38" s="326">
        <v>0.17619819558748639</v>
      </c>
      <c r="Y38" s="326">
        <v>0.23269694661929724</v>
      </c>
      <c r="Z38" s="326">
        <v>0.23269694661929718</v>
      </c>
    </row>
    <row r="39" spans="1:26">
      <c r="A39" t="s">
        <v>550</v>
      </c>
      <c r="B39">
        <v>22</v>
      </c>
      <c r="C39" s="326">
        <v>-4.7349999999999996E-2</v>
      </c>
      <c r="D39" s="326">
        <v>0.1173052780777761</v>
      </c>
      <c r="E39" s="326">
        <v>1.9364212379220549E-2</v>
      </c>
      <c r="F39" s="326">
        <v>0.18073548314983515</v>
      </c>
      <c r="G39" s="380">
        <v>0.72015964506798358</v>
      </c>
      <c r="H39" s="380">
        <v>1.2016165333333335</v>
      </c>
      <c r="I39" s="326">
        <v>8.514211989333334E-2</v>
      </c>
      <c r="J39" s="326">
        <v>0.60288074582943474</v>
      </c>
      <c r="K39" s="326">
        <v>3.9099999999999996E-2</v>
      </c>
      <c r="L39" s="326">
        <v>0.49552829148536448</v>
      </c>
      <c r="M39" s="326">
        <v>5.767690939892689E-2</v>
      </c>
      <c r="N39" s="380">
        <v>0.16916645012953516</v>
      </c>
      <c r="O39" s="380">
        <v>8.4015473097219679</v>
      </c>
      <c r="P39" s="380">
        <v>15.129489110344769</v>
      </c>
      <c r="Q39" s="380">
        <v>69.091053342154098</v>
      </c>
      <c r="R39" s="380">
        <v>1.2079388486902292</v>
      </c>
      <c r="S39" s="380">
        <v>192.48759055802245</v>
      </c>
      <c r="T39" s="326">
        <v>9.6719334217826525E-2</v>
      </c>
      <c r="U39" s="326">
        <v>0.18674925765747141</v>
      </c>
      <c r="V39" s="326">
        <v>0.13072924743410821</v>
      </c>
      <c r="W39" s="326">
        <v>1.6079035201442093</v>
      </c>
      <c r="X39" s="326">
        <v>6.5591136823129276E-3</v>
      </c>
      <c r="Y39" s="326">
        <v>7.3568620362420258</v>
      </c>
      <c r="Z39" s="326">
        <v>7.3568620362420258</v>
      </c>
    </row>
    <row r="40" spans="1:26">
      <c r="A40" t="s">
        <v>551</v>
      </c>
      <c r="B40">
        <v>251</v>
      </c>
      <c r="C40" s="326">
        <v>0.10539388429752058</v>
      </c>
      <c r="D40" s="326">
        <v>0.15982683530555747</v>
      </c>
      <c r="E40" s="326">
        <v>0.1629850204863377</v>
      </c>
      <c r="F40" s="326">
        <v>0.15835805557596705</v>
      </c>
      <c r="G40" s="380">
        <v>0.88508346966591411</v>
      </c>
      <c r="H40" s="380">
        <v>0.9412867387387388</v>
      </c>
      <c r="I40" s="326">
        <v>7.1917366327927931E-2</v>
      </c>
      <c r="J40" s="326">
        <v>0.66920737677963871</v>
      </c>
      <c r="K40" s="326">
        <v>4.6600000000000003E-2</v>
      </c>
      <c r="L40" s="326">
        <v>0.1459061057788022</v>
      </c>
      <c r="M40" s="326">
        <v>6.6591594111414465E-2</v>
      </c>
      <c r="N40" s="380">
        <v>1.0688796757942634</v>
      </c>
      <c r="O40" s="380">
        <v>4.7925885186424564</v>
      </c>
      <c r="P40" s="380">
        <v>18.965463063468921</v>
      </c>
      <c r="Q40" s="380">
        <v>30.350964746113462</v>
      </c>
      <c r="R40" s="380">
        <v>4.0441064235604367</v>
      </c>
      <c r="S40" s="380">
        <v>91.798884703670979</v>
      </c>
      <c r="T40" s="326">
        <v>0.22925002866744498</v>
      </c>
      <c r="U40" s="326">
        <v>4.7494363872816053E-2</v>
      </c>
      <c r="V40" s="326">
        <v>0.16309959379411004</v>
      </c>
      <c r="W40" s="326">
        <v>1.3058967986796071</v>
      </c>
      <c r="X40" s="326">
        <v>9.5091154510374351E-2</v>
      </c>
      <c r="Y40" s="326">
        <v>0.36914740020322401</v>
      </c>
      <c r="Z40" s="326">
        <v>0.36914740020322401</v>
      </c>
    </row>
    <row r="41" spans="1:26">
      <c r="A41" t="s">
        <v>552</v>
      </c>
      <c r="B41">
        <v>115</v>
      </c>
      <c r="C41" s="326">
        <v>0.16545428571428569</v>
      </c>
      <c r="D41" s="326">
        <v>4.6698395515906023E-2</v>
      </c>
      <c r="E41" s="326">
        <v>0.50539653975147991</v>
      </c>
      <c r="F41" s="326">
        <v>0.31920640925135302</v>
      </c>
      <c r="G41" s="380">
        <v>0.82382035475319326</v>
      </c>
      <c r="H41" s="380">
        <v>0.89753850505050492</v>
      </c>
      <c r="I41" s="326">
        <v>6.9694956056565643E-2</v>
      </c>
      <c r="J41" s="326">
        <v>0.57442504919347648</v>
      </c>
      <c r="K41" s="326">
        <v>3.9099999999999996E-2</v>
      </c>
      <c r="L41" s="326">
        <v>0.19889332899474294</v>
      </c>
      <c r="M41" s="326">
        <v>6.1743408396740758E-2</v>
      </c>
      <c r="N41" s="380">
        <v>12.54345098288676</v>
      </c>
      <c r="O41" s="380">
        <v>0.62400187518578432</v>
      </c>
      <c r="P41" s="380">
        <v>10.719757041137155</v>
      </c>
      <c r="Q41" s="380">
        <v>13.273015038407566</v>
      </c>
      <c r="R41" s="380">
        <v>3.1946219038377763</v>
      </c>
      <c r="S41" s="380">
        <v>41.189689095330486</v>
      </c>
      <c r="T41" s="326">
        <v>-6.1509762965679289E-2</v>
      </c>
      <c r="U41" s="326">
        <v>6.9979054570906913E-3</v>
      </c>
      <c r="V41" s="326">
        <v>1.454580892880543E-2</v>
      </c>
      <c r="W41" s="326">
        <v>0.559665928216591</v>
      </c>
      <c r="X41" s="326">
        <v>0.17400256002326009</v>
      </c>
      <c r="Y41" s="326">
        <v>0.18636772751629294</v>
      </c>
      <c r="Z41" s="326">
        <v>0.18636772751629294</v>
      </c>
    </row>
    <row r="42" spans="1:26">
      <c r="A42" t="s">
        <v>553</v>
      </c>
      <c r="B42">
        <v>112</v>
      </c>
      <c r="C42" s="326">
        <v>6.6784117647058799E-2</v>
      </c>
      <c r="D42" s="326">
        <v>0.14339762577742476</v>
      </c>
      <c r="E42" s="326">
        <v>0.1573276665338359</v>
      </c>
      <c r="F42" s="326">
        <v>0.17547409577170658</v>
      </c>
      <c r="G42" s="380">
        <v>0.8837080124216079</v>
      </c>
      <c r="H42" s="380">
        <v>0.9791562399999999</v>
      </c>
      <c r="I42" s="326">
        <v>7.3841136991999998E-2</v>
      </c>
      <c r="J42" s="326">
        <v>0.58636122426977322</v>
      </c>
      <c r="K42" s="326">
        <v>3.9099999999999996E-2</v>
      </c>
      <c r="L42" s="326">
        <v>0.16174197002937168</v>
      </c>
      <c r="M42" s="326">
        <v>6.6704250407098015E-2</v>
      </c>
      <c r="N42" s="380">
        <v>1.1637680036536446</v>
      </c>
      <c r="O42" s="380">
        <v>4.9468643986149692</v>
      </c>
      <c r="P42" s="380">
        <v>20.511044675862937</v>
      </c>
      <c r="Q42" s="380">
        <v>35.153541425246189</v>
      </c>
      <c r="R42" s="380">
        <v>4.0486421634531196</v>
      </c>
      <c r="S42" s="380">
        <v>69.026288443748044</v>
      </c>
      <c r="T42" s="326">
        <v>0.23130936670080829</v>
      </c>
      <c r="U42" s="326">
        <v>4.2274508355584016E-2</v>
      </c>
      <c r="V42" s="326">
        <v>0.1209385860345381</v>
      </c>
      <c r="W42" s="326">
        <v>1.216659147364523</v>
      </c>
      <c r="X42" s="326">
        <v>0.10795781941728474</v>
      </c>
      <c r="Y42" s="326">
        <v>9.3185789574807845E-2</v>
      </c>
      <c r="Z42" s="326">
        <v>9.3185789574807831E-2</v>
      </c>
    </row>
    <row r="43" spans="1:26">
      <c r="A43" t="s">
        <v>554</v>
      </c>
      <c r="B43">
        <v>32</v>
      </c>
      <c r="C43" s="326">
        <v>0.22908571428571434</v>
      </c>
      <c r="D43" s="326">
        <v>0.10106891300172652</v>
      </c>
      <c r="E43" s="326">
        <v>9.3081964789527141E-2</v>
      </c>
      <c r="F43" s="326">
        <v>0.33619496810545335</v>
      </c>
      <c r="G43" s="380">
        <v>0.89482816266964527</v>
      </c>
      <c r="H43" s="380">
        <v>1.1083664516129033</v>
      </c>
      <c r="I43" s="326">
        <v>8.0405015741935482E-2</v>
      </c>
      <c r="J43" s="326">
        <v>0.44699654028218339</v>
      </c>
      <c r="K43" s="326">
        <v>3.9099999999999996E-2</v>
      </c>
      <c r="L43" s="326">
        <v>0.28392869929601794</v>
      </c>
      <c r="M43" s="326">
        <v>6.6012949433732357E-2</v>
      </c>
      <c r="N43" s="380">
        <v>1.2095704991892824</v>
      </c>
      <c r="O43" s="380">
        <v>1.4887746916288438</v>
      </c>
      <c r="P43" s="380">
        <v>13.781555827255266</v>
      </c>
      <c r="Q43" s="380">
        <v>14.720093728802491</v>
      </c>
      <c r="R43" s="380">
        <v>2.0655772801383283</v>
      </c>
      <c r="S43" s="380">
        <v>24.372311003971877</v>
      </c>
      <c r="T43" s="326">
        <v>0.78804784519019966</v>
      </c>
      <c r="U43" s="326">
        <v>5.2834794282899666E-3</v>
      </c>
      <c r="V43" s="326">
        <v>1.3483111539249486E-2</v>
      </c>
      <c r="W43" s="326">
        <v>0.70681498949828303</v>
      </c>
      <c r="X43" s="326">
        <v>0.1248557453349329</v>
      </c>
      <c r="Y43" s="326">
        <v>8.355432006416065E-2</v>
      </c>
      <c r="Z43" s="326">
        <v>8.3554320064160637E-2</v>
      </c>
    </row>
    <row r="44" spans="1:26">
      <c r="A44" t="s">
        <v>555</v>
      </c>
      <c r="B44">
        <v>35</v>
      </c>
      <c r="C44" s="326">
        <v>8.1875500000000018E-2</v>
      </c>
      <c r="D44" s="326">
        <v>8.8087688106035567E-2</v>
      </c>
      <c r="E44" s="326">
        <v>0.1183693780819782</v>
      </c>
      <c r="F44" s="326">
        <v>0.31059732799449036</v>
      </c>
      <c r="G44" s="380">
        <v>0.5122854446277495</v>
      </c>
      <c r="H44" s="380">
        <v>1.1785352</v>
      </c>
      <c r="I44" s="326">
        <v>8.3969588159999997E-2</v>
      </c>
      <c r="J44" s="326">
        <v>0.60628194314050954</v>
      </c>
      <c r="K44" s="326">
        <v>3.9099999999999996E-2</v>
      </c>
      <c r="L44" s="326">
        <v>0.63835382120720141</v>
      </c>
      <c r="M44" s="326">
        <v>4.9336602843862216E-2</v>
      </c>
      <c r="N44" s="380">
        <v>1.5026057441220912</v>
      </c>
      <c r="O44" s="380">
        <v>1.3236785163479872</v>
      </c>
      <c r="P44" s="380">
        <v>8.2376181558204404</v>
      </c>
      <c r="Q44" s="380">
        <v>14.973507413199933</v>
      </c>
      <c r="R44" s="380">
        <v>3.8179599622551015</v>
      </c>
      <c r="S44" s="380">
        <v>19.77256223310841</v>
      </c>
      <c r="T44" s="326">
        <v>0.1232742945904088</v>
      </c>
      <c r="U44" s="326">
        <v>5.1007628163261994E-2</v>
      </c>
      <c r="V44" s="326">
        <v>2.5638741888251541E-2</v>
      </c>
      <c r="W44" s="326">
        <v>1.1041296966509815</v>
      </c>
      <c r="X44" s="326">
        <v>8.2109099052330464E-2</v>
      </c>
      <c r="Y44" s="326">
        <v>0.24140641271037688</v>
      </c>
      <c r="Z44" s="326">
        <v>0.24140641271037688</v>
      </c>
    </row>
    <row r="45" spans="1:26">
      <c r="A45" t="s">
        <v>556</v>
      </c>
      <c r="B45">
        <v>70</v>
      </c>
      <c r="C45" s="326">
        <v>7.8601951219512203E-2</v>
      </c>
      <c r="D45" s="326">
        <v>0.19589530672058975</v>
      </c>
      <c r="E45" s="326">
        <v>0.11330146432956961</v>
      </c>
      <c r="F45" s="326">
        <v>0.2030323192258639</v>
      </c>
      <c r="G45" s="380">
        <v>0.74415946232869168</v>
      </c>
      <c r="H45" s="380">
        <v>0.93865277419354842</v>
      </c>
      <c r="I45" s="326">
        <v>7.1783560929032264E-2</v>
      </c>
      <c r="J45" s="326">
        <v>0.45513831797484544</v>
      </c>
      <c r="K45" s="326">
        <v>3.9099999999999996E-2</v>
      </c>
      <c r="L45" s="326">
        <v>0.28523666268245285</v>
      </c>
      <c r="M45" s="326">
        <v>5.9784350242444356E-2</v>
      </c>
      <c r="N45" s="380">
        <v>0.67261691317594707</v>
      </c>
      <c r="O45" s="380">
        <v>4.1531113931626598</v>
      </c>
      <c r="P45" s="380">
        <v>13.365907322870244</v>
      </c>
      <c r="Q45" s="380">
        <v>21.099932122098494</v>
      </c>
      <c r="R45" s="380">
        <v>4.5102396478888913</v>
      </c>
      <c r="S45" s="380">
        <v>54.561463221435382</v>
      </c>
      <c r="T45" s="326">
        <v>-1.4468039977901727E-2</v>
      </c>
      <c r="U45" s="326">
        <v>8.5059691947547644E-2</v>
      </c>
      <c r="V45" s="326">
        <v>1.4294660295492957E-2</v>
      </c>
      <c r="W45" s="326">
        <v>9.4122950010503872E-2</v>
      </c>
      <c r="X45" s="326">
        <v>0.1294255804930261</v>
      </c>
      <c r="Y45" s="326">
        <v>0.63063726996817726</v>
      </c>
      <c r="Z45" s="326">
        <v>0.63063726996817726</v>
      </c>
    </row>
    <row r="46" spans="1:26">
      <c r="A46" t="s">
        <v>557</v>
      </c>
      <c r="B46">
        <v>131</v>
      </c>
      <c r="C46" s="326">
        <v>7.3411090909090898E-2</v>
      </c>
      <c r="D46" s="326">
        <v>0.18298293039616628</v>
      </c>
      <c r="E46" s="326">
        <v>0.2951790059622168</v>
      </c>
      <c r="F46" s="326">
        <v>0.2547179230036517</v>
      </c>
      <c r="G46" s="380">
        <v>0.87926933287734055</v>
      </c>
      <c r="H46" s="380">
        <v>0.99621300000000035</v>
      </c>
      <c r="I46" s="326">
        <v>7.4707620400000022E-2</v>
      </c>
      <c r="J46" s="326">
        <v>0.56296915370311507</v>
      </c>
      <c r="K46" s="326">
        <v>3.9099999999999996E-2</v>
      </c>
      <c r="L46" s="326">
        <v>0.17374446678943578</v>
      </c>
      <c r="M46" s="326">
        <v>6.6890575303609312E-2</v>
      </c>
      <c r="N46" s="380">
        <v>1.7407939570715367</v>
      </c>
      <c r="O46" s="380">
        <v>3.2987169079214378</v>
      </c>
      <c r="P46" s="380">
        <v>14.18840219898887</v>
      </c>
      <c r="Q46" s="380">
        <v>18.038863757755191</v>
      </c>
      <c r="R46" s="380">
        <v>5.0945434849107523</v>
      </c>
      <c r="S46" s="380">
        <v>48.589875032112353</v>
      </c>
      <c r="T46" s="326">
        <v>0.10464759358076733</v>
      </c>
      <c r="U46" s="326">
        <v>4.4214397359111701E-2</v>
      </c>
      <c r="V46" s="326">
        <v>3.7366098543218165E-2</v>
      </c>
      <c r="W46" s="326">
        <v>0.28080266876370064</v>
      </c>
      <c r="X46" s="326">
        <v>0.29253730406263206</v>
      </c>
      <c r="Y46" s="326">
        <v>0.49615049848516796</v>
      </c>
      <c r="Z46" s="326">
        <v>0.4961504984851679</v>
      </c>
    </row>
    <row r="47" spans="1:26">
      <c r="A47" t="s">
        <v>558</v>
      </c>
      <c r="B47">
        <v>61</v>
      </c>
      <c r="C47" s="326">
        <v>6.9383846153846185E-2</v>
      </c>
      <c r="D47" s="326">
        <v>0.25403075564860095</v>
      </c>
      <c r="E47" s="326">
        <v>0.33510939162754816</v>
      </c>
      <c r="F47" s="326">
        <v>0.3255526739503084</v>
      </c>
      <c r="G47" s="380">
        <v>0.82102604136194945</v>
      </c>
      <c r="H47" s="380">
        <v>0.88160296296296281</v>
      </c>
      <c r="I47" s="326">
        <v>6.8885430518518503E-2</v>
      </c>
      <c r="J47" s="326">
        <v>0.4134862338488251</v>
      </c>
      <c r="K47" s="326">
        <v>3.9099999999999996E-2</v>
      </c>
      <c r="L47" s="326">
        <v>0.13575474517438496</v>
      </c>
      <c r="M47" s="326">
        <v>6.3567994459851243E-2</v>
      </c>
      <c r="N47" s="380">
        <v>1.5676179589546289</v>
      </c>
      <c r="O47" s="380">
        <v>6.0330412461210337</v>
      </c>
      <c r="P47" s="380">
        <v>18.741070958469077</v>
      </c>
      <c r="Q47" s="380">
        <v>23.457131318650529</v>
      </c>
      <c r="R47" s="380">
        <v>7.6315684355657991</v>
      </c>
      <c r="S47" s="380">
        <v>34.305330748671587</v>
      </c>
      <c r="T47" s="326">
        <v>-5.1458973028757966E-2</v>
      </c>
      <c r="U47" s="326">
        <v>3.2661634600170457E-2</v>
      </c>
      <c r="V47" s="326">
        <v>1.1075998492262927E-2</v>
      </c>
      <c r="W47" s="326">
        <v>0.1356963247586731</v>
      </c>
      <c r="X47" s="326">
        <v>0.20909124574096166</v>
      </c>
      <c r="Y47" s="326">
        <v>0.27257269531260719</v>
      </c>
      <c r="Z47" s="326">
        <v>0.27257269531260719</v>
      </c>
    </row>
    <row r="48" spans="1:26">
      <c r="A48" t="s">
        <v>559</v>
      </c>
      <c r="B48">
        <v>21</v>
      </c>
      <c r="C48" s="326">
        <v>4.967470588235294E-2</v>
      </c>
      <c r="D48" s="326">
        <v>5.1062059646753692E-2</v>
      </c>
      <c r="E48" s="326">
        <v>2.8235211225178334E-2</v>
      </c>
      <c r="F48" s="326">
        <v>0.21017994638129042</v>
      </c>
      <c r="G48" s="380">
        <v>0.63161786013410837</v>
      </c>
      <c r="H48" s="380">
        <v>0.78385485714285708</v>
      </c>
      <c r="I48" s="326">
        <v>6.3919826742857136E-2</v>
      </c>
      <c r="J48" s="326">
        <v>0.37213973394262012</v>
      </c>
      <c r="K48" s="326">
        <v>3.61E-2</v>
      </c>
      <c r="L48" s="326">
        <v>0.27797357402198519</v>
      </c>
      <c r="M48" s="326">
        <v>5.3778287029146256E-2</v>
      </c>
      <c r="N48" s="380">
        <v>0.64835063575712815</v>
      </c>
      <c r="O48" s="380">
        <v>1.8350717498975582</v>
      </c>
      <c r="P48" s="380">
        <v>16.444239925816127</v>
      </c>
      <c r="Q48" s="380">
        <v>35.87878870790091</v>
      </c>
      <c r="R48" s="380">
        <v>1.1946739213701956</v>
      </c>
      <c r="S48" s="380">
        <v>22.155024874734821</v>
      </c>
      <c r="T48" s="326">
        <v>-0.16803822499528442</v>
      </c>
      <c r="U48" s="326">
        <v>1.4624553760982775E-2</v>
      </c>
      <c r="V48" s="326">
        <v>-1.1072805559717038E-2</v>
      </c>
      <c r="W48" s="326">
        <v>0.19282066032758652</v>
      </c>
      <c r="X48" s="326">
        <v>1.9666373718086518E-2</v>
      </c>
      <c r="Y48" s="326">
        <v>1.0114857129446226</v>
      </c>
      <c r="Z48" s="326">
        <v>1.0114857129446226</v>
      </c>
    </row>
    <row r="49" spans="1:26">
      <c r="A49" t="s">
        <v>560</v>
      </c>
      <c r="B49">
        <v>25</v>
      </c>
      <c r="C49" s="326">
        <v>1.2959000000000004E-2</v>
      </c>
      <c r="D49" s="326">
        <v>8.2054598506621057E-2</v>
      </c>
      <c r="E49" s="326">
        <v>4.4003708225644714E-2</v>
      </c>
      <c r="F49" s="326">
        <v>0.26447316092809597</v>
      </c>
      <c r="G49" s="380">
        <v>0.80519497929401429</v>
      </c>
      <c r="H49" s="380">
        <v>1.0076621818181819</v>
      </c>
      <c r="I49" s="326">
        <v>7.5289238836363639E-2</v>
      </c>
      <c r="J49" s="326">
        <v>0.37335819471308729</v>
      </c>
      <c r="K49" s="326">
        <v>3.61E-2</v>
      </c>
      <c r="L49" s="326">
        <v>0.3632806751256305</v>
      </c>
      <c r="M49" s="326">
        <v>5.7905081924941412E-2</v>
      </c>
      <c r="N49" s="380">
        <v>0.63331534456291005</v>
      </c>
      <c r="O49" s="380">
        <v>1.4480531498685549</v>
      </c>
      <c r="P49" s="380">
        <v>8.3737807491359906</v>
      </c>
      <c r="Q49" s="380">
        <v>11.365193691801879</v>
      </c>
      <c r="R49" s="380">
        <v>1.0362398672172677</v>
      </c>
      <c r="S49" s="380">
        <v>18.168926549249139</v>
      </c>
      <c r="T49" s="326">
        <v>5.6473240074714964E-2</v>
      </c>
      <c r="U49" s="326">
        <v>1.8061817895305839E-3</v>
      </c>
      <c r="V49" s="326">
        <v>-2.7799093828968506E-3</v>
      </c>
      <c r="W49" s="326">
        <v>0.16466924597929275</v>
      </c>
      <c r="X49" s="326">
        <v>4.1716923478368632E-2</v>
      </c>
      <c r="Y49" s="326">
        <v>0.65774901012196418</v>
      </c>
      <c r="Z49" s="326">
        <v>0.65774901012196418</v>
      </c>
    </row>
    <row r="50" spans="1:26">
      <c r="A50" t="s">
        <v>561</v>
      </c>
      <c r="B50">
        <v>50</v>
      </c>
      <c r="C50" s="326">
        <v>6.816682926829272E-2</v>
      </c>
      <c r="D50" s="326">
        <v>9.2964764244262574E-2</v>
      </c>
      <c r="E50" s="326">
        <v>8.321458017575703E-2</v>
      </c>
      <c r="F50" s="326">
        <v>0.28290693381297516</v>
      </c>
      <c r="G50" s="380">
        <v>0.72774299007849574</v>
      </c>
      <c r="H50" s="380">
        <v>0.83840033333333308</v>
      </c>
      <c r="I50" s="326">
        <v>6.6690736933333314E-2</v>
      </c>
      <c r="J50" s="326">
        <v>0.34652799338581941</v>
      </c>
      <c r="K50" s="326">
        <v>3.61E-2</v>
      </c>
      <c r="L50" s="326">
        <v>0.20902503370170475</v>
      </c>
      <c r="M50" s="326">
        <v>5.8485514222891763E-2</v>
      </c>
      <c r="N50" s="380">
        <v>1.0983336087056448</v>
      </c>
      <c r="O50" s="380">
        <v>1.521539288439145</v>
      </c>
      <c r="P50" s="380">
        <v>11.913078998680563</v>
      </c>
      <c r="Q50" s="380">
        <v>15.355944309798755</v>
      </c>
      <c r="R50" s="380">
        <v>1.6981079354639252</v>
      </c>
      <c r="S50" s="380">
        <v>49.687740357686764</v>
      </c>
      <c r="T50" s="326">
        <v>-0.36666227798239603</v>
      </c>
      <c r="U50" s="326">
        <v>8.6098316379801219E-3</v>
      </c>
      <c r="V50" s="326">
        <v>5.722110975046971E-3</v>
      </c>
      <c r="W50" s="326">
        <v>0.16365715185530655</v>
      </c>
      <c r="X50" s="326">
        <v>7.2896981603998726E-2</v>
      </c>
      <c r="Y50" s="326">
        <v>0.426481343558619</v>
      </c>
      <c r="Z50" s="326">
        <v>0.426481343558619</v>
      </c>
    </row>
    <row r="51" spans="1:26">
      <c r="A51" t="s">
        <v>562</v>
      </c>
      <c r="B51">
        <v>165</v>
      </c>
      <c r="C51" s="326">
        <v>7.8606315789473719E-2</v>
      </c>
      <c r="D51" s="326">
        <v>0.19979115283447307</v>
      </c>
      <c r="E51" s="326">
        <v>9.887989338689944E-2</v>
      </c>
      <c r="F51" s="326">
        <v>0.24209612334202252</v>
      </c>
      <c r="G51" s="380">
        <v>0.86690937652117939</v>
      </c>
      <c r="H51" s="380">
        <v>0.98742882644628183</v>
      </c>
      <c r="I51" s="326">
        <v>7.4261384383471116E-2</v>
      </c>
      <c r="J51" s="326">
        <v>0.40996093158687158</v>
      </c>
      <c r="K51" s="326">
        <v>3.9099999999999996E-2</v>
      </c>
      <c r="L51" s="326">
        <v>0.29616694203760729</v>
      </c>
      <c r="M51" s="326">
        <v>6.1068514108728683E-2</v>
      </c>
      <c r="N51" s="380">
        <v>0.53963056503840579</v>
      </c>
      <c r="O51" s="380">
        <v>4.9637961938064734</v>
      </c>
      <c r="P51" s="380">
        <v>21.418689802875324</v>
      </c>
      <c r="Q51" s="380">
        <v>24.314161582643347</v>
      </c>
      <c r="R51" s="380">
        <v>2.1193804863414973</v>
      </c>
      <c r="S51" s="380">
        <v>158.40592211225112</v>
      </c>
      <c r="T51" s="326" t="s">
        <v>100</v>
      </c>
      <c r="U51" s="326">
        <v>3.1099147898091983E-2</v>
      </c>
      <c r="V51" s="326">
        <v>3.5739011964767198E-2</v>
      </c>
      <c r="W51" s="326">
        <v>0.36901568749334696</v>
      </c>
      <c r="X51" s="326">
        <v>0.1375442007918202</v>
      </c>
      <c r="Y51" s="326">
        <v>0.36325454131761636</v>
      </c>
      <c r="Z51" s="326">
        <v>0.36325454131761636</v>
      </c>
    </row>
    <row r="52" spans="1:26">
      <c r="A52" t="s">
        <v>563</v>
      </c>
      <c r="B52">
        <v>126</v>
      </c>
      <c r="C52" s="326">
        <v>1.8409493670886078E-2</v>
      </c>
      <c r="D52" s="326">
        <v>0.13681816857421339</v>
      </c>
      <c r="E52" s="326">
        <v>0.25888143465746444</v>
      </c>
      <c r="F52" s="326">
        <v>0.26161360858792743</v>
      </c>
      <c r="G52" s="380">
        <v>1.0376808387746204</v>
      </c>
      <c r="H52" s="380">
        <v>1.1493211214953274</v>
      </c>
      <c r="I52" s="326">
        <v>8.2485512971962632E-2</v>
      </c>
      <c r="J52" s="326">
        <v>0.43170960058226454</v>
      </c>
      <c r="K52" s="326">
        <v>3.9099999999999996E-2</v>
      </c>
      <c r="L52" s="326">
        <v>0.16489704003835737</v>
      </c>
      <c r="M52" s="326">
        <v>7.3783976478620283E-2</v>
      </c>
      <c r="N52" s="380">
        <v>2.1994666926495841</v>
      </c>
      <c r="O52" s="380">
        <v>2.6543183234585417</v>
      </c>
      <c r="P52" s="380">
        <v>14.848400069911069</v>
      </c>
      <c r="Q52" s="380">
        <v>19.489631726402958</v>
      </c>
      <c r="R52" s="380">
        <v>4.4945296553256773</v>
      </c>
      <c r="S52" s="380">
        <v>32.743345807199233</v>
      </c>
      <c r="T52" s="326">
        <v>0.22983739051913529</v>
      </c>
      <c r="U52" s="326">
        <v>2.6738089825410878E-2</v>
      </c>
      <c r="V52" s="326">
        <v>0.10378821359822865</v>
      </c>
      <c r="W52" s="326">
        <v>1.1247558044529287</v>
      </c>
      <c r="X52" s="326">
        <v>0.19082547011531742</v>
      </c>
      <c r="Y52" s="326">
        <v>0.30098343598363603</v>
      </c>
      <c r="Z52" s="326">
        <v>0.30098343598363608</v>
      </c>
    </row>
    <row r="53" spans="1:26">
      <c r="A53" t="s">
        <v>564</v>
      </c>
      <c r="B53">
        <v>102</v>
      </c>
      <c r="C53" s="326">
        <v>0.14721846153846155</v>
      </c>
      <c r="D53" s="326">
        <v>0.17929901681750041</v>
      </c>
      <c r="E53" s="326">
        <v>0.14344929651934318</v>
      </c>
      <c r="F53" s="326">
        <v>0.42304589161161432</v>
      </c>
      <c r="G53" s="380">
        <v>0.96016218423880206</v>
      </c>
      <c r="H53" s="380">
        <v>1.1032091294117645</v>
      </c>
      <c r="I53" s="326">
        <v>8.0143023774117639E-2</v>
      </c>
      <c r="J53" s="326">
        <v>0.82328079886594596</v>
      </c>
      <c r="K53" s="326">
        <v>6.9099999999999995E-2</v>
      </c>
      <c r="L53" s="326">
        <v>0.23394949185455344</v>
      </c>
      <c r="M53" s="326">
        <v>7.3679695600709139E-2</v>
      </c>
      <c r="N53" s="380">
        <v>0.81357245944963419</v>
      </c>
      <c r="O53" s="380">
        <v>2.5390062333792294</v>
      </c>
      <c r="P53" s="380">
        <v>8.814370019199794</v>
      </c>
      <c r="Q53" s="380">
        <v>13.938116771681049</v>
      </c>
      <c r="R53" s="380">
        <v>2.9329223375455293</v>
      </c>
      <c r="S53" s="380">
        <v>52.109037519254031</v>
      </c>
      <c r="T53" s="326">
        <v>0.15300838725476759</v>
      </c>
      <c r="U53" s="326">
        <v>8.1138875252325549E-2</v>
      </c>
      <c r="V53" s="326">
        <v>-1.0898063577131649E-3</v>
      </c>
      <c r="W53" s="326">
        <v>0.25875404465398422</v>
      </c>
      <c r="X53" s="326">
        <v>0.10777863748276334</v>
      </c>
      <c r="Y53" s="326">
        <v>0.18572170214191219</v>
      </c>
      <c r="Z53" s="326">
        <v>0.18572170214191219</v>
      </c>
    </row>
    <row r="54" spans="1:26">
      <c r="A54" t="s">
        <v>565</v>
      </c>
      <c r="B54">
        <v>24</v>
      </c>
      <c r="C54" s="326">
        <v>4.264133333333333E-2</v>
      </c>
      <c r="D54" s="326">
        <v>8.5960257412084434E-2</v>
      </c>
      <c r="E54" s="326">
        <v>0.17715975041930154</v>
      </c>
      <c r="F54" s="326">
        <v>0.3466367860791616</v>
      </c>
      <c r="G54" s="380">
        <v>1.0984143438538143</v>
      </c>
      <c r="H54" s="380">
        <v>1.3734419047619046</v>
      </c>
      <c r="I54" s="326">
        <v>9.3870848761904754E-2</v>
      </c>
      <c r="J54" s="326">
        <v>0.49658828746227324</v>
      </c>
      <c r="K54" s="326">
        <v>3.9099999999999996E-2</v>
      </c>
      <c r="L54" s="326">
        <v>0.34057575611811558</v>
      </c>
      <c r="M54" s="326">
        <v>7.2021262636175698E-2</v>
      </c>
      <c r="N54" s="380">
        <v>2.5224766014077571</v>
      </c>
      <c r="O54" s="380">
        <v>1.0215806368030287</v>
      </c>
      <c r="P54" s="380">
        <v>8.3703979055973203</v>
      </c>
      <c r="Q54" s="380">
        <v>11.930064651214805</v>
      </c>
      <c r="R54" s="380">
        <v>3.1235004873025507</v>
      </c>
      <c r="S54" s="380">
        <v>35.376266441201516</v>
      </c>
      <c r="T54" s="326">
        <v>8.2130701518049215E-2</v>
      </c>
      <c r="U54" s="326">
        <v>2.8914486614931387E-2</v>
      </c>
      <c r="V54" s="326">
        <v>3.1044348943725757E-2</v>
      </c>
      <c r="W54" s="326">
        <v>0.40661208774473084</v>
      </c>
      <c r="X54" s="326">
        <v>8.7016980971072605E-2</v>
      </c>
      <c r="Y54" s="326">
        <v>0.82360220916458116</v>
      </c>
      <c r="Z54" s="326">
        <v>0.82360220916458116</v>
      </c>
    </row>
    <row r="55" spans="1:26">
      <c r="A55" t="s">
        <v>566</v>
      </c>
      <c r="B55">
        <v>5</v>
      </c>
      <c r="C55" s="326">
        <v>-0.12333333333333334</v>
      </c>
      <c r="D55" s="326">
        <v>2.9283377371994761E-2</v>
      </c>
      <c r="E55" s="326">
        <v>2.1514270249145432E-2</v>
      </c>
      <c r="F55" s="326">
        <v>0.18219716520427204</v>
      </c>
      <c r="G55" s="380">
        <v>1.2507640353953937</v>
      </c>
      <c r="H55" s="380">
        <v>1.3724000000000003</v>
      </c>
      <c r="I55" s="326">
        <v>9.3817920000000013E-2</v>
      </c>
      <c r="J55" s="326">
        <v>0.20212920654914845</v>
      </c>
      <c r="K55" s="326">
        <v>3.1099999999999999E-2</v>
      </c>
      <c r="L55" s="326">
        <v>0.13264554603360462</v>
      </c>
      <c r="M55" s="326">
        <v>8.4508600899913244E-2</v>
      </c>
      <c r="N55" s="380">
        <v>0.82546241599788139</v>
      </c>
      <c r="O55" s="380">
        <v>2.0661784298786094</v>
      </c>
      <c r="P55" s="380">
        <v>12.946499018069632</v>
      </c>
      <c r="Q55" s="380">
        <v>70.355411873658511</v>
      </c>
      <c r="R55" s="380">
        <v>1.8126955682015105</v>
      </c>
      <c r="S55" s="380">
        <v>55.942501942296097</v>
      </c>
      <c r="T55" s="326">
        <v>4.2146541667252312E-2</v>
      </c>
      <c r="U55" s="326">
        <v>9.8087059187316403E-2</v>
      </c>
      <c r="V55" s="326">
        <v>-2.7795971720522297E-2</v>
      </c>
      <c r="W55" s="326">
        <v>-0.92813229702282019</v>
      </c>
      <c r="X55" s="326">
        <v>5.9026827164527972E-2</v>
      </c>
      <c r="Y55" s="326">
        <v>1.1621365517929281</v>
      </c>
      <c r="Z55" s="326">
        <v>1.1621365517929281</v>
      </c>
    </row>
    <row r="56" spans="1:26">
      <c r="A56" t="s">
        <v>567</v>
      </c>
      <c r="B56">
        <v>311</v>
      </c>
      <c r="C56" s="326">
        <v>-1.7194193548387089E-2</v>
      </c>
      <c r="D56" s="326">
        <v>2.3290824562893072E-3</v>
      </c>
      <c r="E56" s="326">
        <v>8.6135625051514311E-4</v>
      </c>
      <c r="F56" s="326">
        <v>5.1612811008734459E-2</v>
      </c>
      <c r="G56" s="380">
        <v>1.0036901148132051</v>
      </c>
      <c r="H56" s="380">
        <v>1.2587320149812737</v>
      </c>
      <c r="I56" s="326">
        <v>8.8043586361048698E-2</v>
      </c>
      <c r="J56" s="326">
        <v>0.78882535429222089</v>
      </c>
      <c r="K56" s="326">
        <v>6.9099999999999995E-2</v>
      </c>
      <c r="L56" s="326">
        <v>0.29533302743791068</v>
      </c>
      <c r="M56" s="326">
        <v>7.7551116723478364E-2</v>
      </c>
      <c r="N56" s="380">
        <v>0.37902124697249057</v>
      </c>
      <c r="O56" s="380">
        <v>4.3286610153669143</v>
      </c>
      <c r="P56" s="380">
        <v>10.555040183716942</v>
      </c>
      <c r="Q56" s="380" t="s">
        <v>100</v>
      </c>
      <c r="R56" s="380">
        <v>1.9337817445984247</v>
      </c>
      <c r="S56" s="380">
        <v>126.14508317046595</v>
      </c>
      <c r="T56" s="326">
        <v>-1.7514995677959899E-2</v>
      </c>
      <c r="U56" s="326">
        <v>0.53968385934998087</v>
      </c>
      <c r="V56" s="326">
        <v>0.22033927900276781</v>
      </c>
      <c r="W56" s="326" t="s">
        <v>100</v>
      </c>
      <c r="X56" s="326">
        <v>-4.8665360815472201E-2</v>
      </c>
      <c r="Y56" s="326">
        <v>8.2698453644181394E-3</v>
      </c>
      <c r="Z56" s="326">
        <v>8.2698453644181047E-3</v>
      </c>
    </row>
    <row r="57" spans="1:26">
      <c r="A57" t="s">
        <v>568</v>
      </c>
      <c r="B57">
        <v>16</v>
      </c>
      <c r="C57" s="326">
        <v>0.13888499999999998</v>
      </c>
      <c r="D57" s="326">
        <v>0.17796226217629194</v>
      </c>
      <c r="E57" s="326">
        <v>6.1284012268537934E-2</v>
      </c>
      <c r="F57" s="326">
        <v>0.2577806119755649</v>
      </c>
      <c r="G57" s="380">
        <v>0.71646756268516709</v>
      </c>
      <c r="H57" s="380">
        <v>1.2064832000000001</v>
      </c>
      <c r="I57" s="326">
        <v>8.5389346559999996E-2</v>
      </c>
      <c r="J57" s="326">
        <v>0.62786694689603006</v>
      </c>
      <c r="K57" s="326">
        <v>3.9099999999999996E-2</v>
      </c>
      <c r="L57" s="326">
        <v>0.4830104447849965</v>
      </c>
      <c r="M57" s="326">
        <v>5.8498538675385139E-2</v>
      </c>
      <c r="N57" s="380">
        <v>0.3618696296926226</v>
      </c>
      <c r="O57" s="380">
        <v>4.5196656856499198</v>
      </c>
      <c r="P57" s="380">
        <v>14.577435277419207</v>
      </c>
      <c r="Q57" s="380">
        <v>25.295507661192961</v>
      </c>
      <c r="R57" s="380">
        <v>1.6272969662635868</v>
      </c>
      <c r="S57" s="380">
        <v>43.873605631437044</v>
      </c>
      <c r="T57" s="326">
        <v>4.2389606928603614E-2</v>
      </c>
      <c r="U57" s="326">
        <v>0.23557719129873117</v>
      </c>
      <c r="V57" s="326">
        <v>0.12979705922886733</v>
      </c>
      <c r="W57" s="326">
        <v>0.98647691753934008</v>
      </c>
      <c r="X57" s="326">
        <v>1.9724465938520827E-2</v>
      </c>
      <c r="Y57" s="326">
        <v>3.1026852256667308</v>
      </c>
      <c r="Z57" s="326">
        <v>3.1026852256667308</v>
      </c>
    </row>
    <row r="58" spans="1:26">
      <c r="A58" t="s">
        <v>569</v>
      </c>
      <c r="B58">
        <v>130</v>
      </c>
      <c r="C58" s="326">
        <v>-4.9305000000000002E-2</v>
      </c>
      <c r="D58" s="326">
        <v>3.1994484775870372E-2</v>
      </c>
      <c r="E58" s="326">
        <v>6.4161071037434431E-2</v>
      </c>
      <c r="F58" s="326">
        <v>0.29402999606624658</v>
      </c>
      <c r="G58" s="380">
        <v>1.0558983129597594</v>
      </c>
      <c r="H58" s="380">
        <v>1.2272059428571427</v>
      </c>
      <c r="I58" s="326">
        <v>8.6442061897142847E-2</v>
      </c>
      <c r="J58" s="326">
        <v>0.73286391629531544</v>
      </c>
      <c r="K58" s="326">
        <v>4.6600000000000003E-2</v>
      </c>
      <c r="L58" s="326">
        <v>0.23652025964370912</v>
      </c>
      <c r="M58" s="326">
        <v>7.4373364488634644E-2</v>
      </c>
      <c r="N58" s="380">
        <v>2.1180278048406578</v>
      </c>
      <c r="O58" s="380">
        <v>1.0150833904921943</v>
      </c>
      <c r="P58" s="380">
        <v>12.145856672039216</v>
      </c>
      <c r="Q58" s="380">
        <v>30.03205718715698</v>
      </c>
      <c r="R58" s="380">
        <v>1.6364966148041411</v>
      </c>
      <c r="S58" s="380">
        <v>131.00464328657549</v>
      </c>
      <c r="T58" s="326">
        <v>9.7703008232736657E-2</v>
      </c>
      <c r="U58" s="326">
        <v>3.5382018968300274E-2</v>
      </c>
      <c r="V58" s="326">
        <v>1.1545290016387762E-2</v>
      </c>
      <c r="W58" s="326">
        <v>0.72525884110631189</v>
      </c>
      <c r="X58" s="326">
        <v>1.9709503528180152E-2</v>
      </c>
      <c r="Y58" s="326">
        <v>2.4226705138063074</v>
      </c>
      <c r="Z58" s="326">
        <v>2.4226705138063074</v>
      </c>
    </row>
    <row r="59" spans="1:26">
      <c r="A59" t="s">
        <v>570</v>
      </c>
      <c r="B59">
        <v>25</v>
      </c>
      <c r="C59" s="326">
        <v>1.6736111111111104E-2</v>
      </c>
      <c r="D59" s="326">
        <v>0.10003902153486936</v>
      </c>
      <c r="E59" s="326">
        <v>0.14576128623491769</v>
      </c>
      <c r="F59" s="326">
        <v>0.27456065405696706</v>
      </c>
      <c r="G59" s="380">
        <v>0.55106848014820298</v>
      </c>
      <c r="H59" s="380">
        <v>0.73852581818181806</v>
      </c>
      <c r="I59" s="326">
        <v>6.1617111563636362E-2</v>
      </c>
      <c r="J59" s="326">
        <v>0.27674733987108008</v>
      </c>
      <c r="K59" s="326">
        <v>3.61E-2</v>
      </c>
      <c r="L59" s="326">
        <v>0.33432741530475474</v>
      </c>
      <c r="M59" s="326">
        <v>5.0189428882322355E-2</v>
      </c>
      <c r="N59" s="380">
        <v>1.8769868095319042</v>
      </c>
      <c r="O59" s="380">
        <v>1.6493481897316691</v>
      </c>
      <c r="P59" s="380">
        <v>10.29828857874184</v>
      </c>
      <c r="Q59" s="380">
        <v>16.464157734758196</v>
      </c>
      <c r="R59" s="380">
        <v>3.8815433733180562</v>
      </c>
      <c r="S59" s="380">
        <v>26.437475828278913</v>
      </c>
      <c r="T59" s="326">
        <v>0.10409735937014833</v>
      </c>
      <c r="U59" s="326">
        <v>5.0747146351834083E-2</v>
      </c>
      <c r="V59" s="326">
        <v>6.485213549811035E-2</v>
      </c>
      <c r="W59" s="326">
        <v>0.89332830816285769</v>
      </c>
      <c r="X59" s="326">
        <v>0.20537745445894223</v>
      </c>
      <c r="Y59" s="326">
        <v>0.39590226921054733</v>
      </c>
      <c r="Z59" s="326">
        <v>0.39590226921054739</v>
      </c>
    </row>
    <row r="60" spans="1:26">
      <c r="A60" t="s">
        <v>571</v>
      </c>
      <c r="B60">
        <v>21</v>
      </c>
      <c r="C60" s="326">
        <v>7.2335333333333349E-2</v>
      </c>
      <c r="D60" s="326">
        <v>5.4387085984521799E-2</v>
      </c>
      <c r="E60" s="326">
        <v>8.4788148754722584E-2</v>
      </c>
      <c r="F60" s="326">
        <v>0.22855481492794139</v>
      </c>
      <c r="G60" s="380">
        <v>0.97753020034772831</v>
      </c>
      <c r="H60" s="380">
        <v>1.1990846315789474</v>
      </c>
      <c r="I60" s="326">
        <v>8.5013499284210522E-2</v>
      </c>
      <c r="J60" s="326">
        <v>0.5681363319706948</v>
      </c>
      <c r="K60" s="326">
        <v>3.9099999999999996E-2</v>
      </c>
      <c r="L60" s="326">
        <v>0.28575484265542755</v>
      </c>
      <c r="M60" s="326">
        <v>6.9211971077012324E-2</v>
      </c>
      <c r="N60" s="380">
        <v>1.8162155400610296</v>
      </c>
      <c r="O60" s="380">
        <v>0.9702911759112629</v>
      </c>
      <c r="P60" s="380">
        <v>8.8980281692720453</v>
      </c>
      <c r="Q60" s="380">
        <v>17.712072953840909</v>
      </c>
      <c r="R60" s="380">
        <v>1.8896378048351348</v>
      </c>
      <c r="S60" s="380">
        <v>75.088352223531174</v>
      </c>
      <c r="T60" s="326">
        <v>0.13986953583944109</v>
      </c>
      <c r="U60" s="326">
        <v>4.3267024477883741E-2</v>
      </c>
      <c r="V60" s="326">
        <v>1.4999146540625371E-2</v>
      </c>
      <c r="W60" s="326">
        <v>0.42849679674633506</v>
      </c>
      <c r="X60" s="326">
        <v>6.1475007181659679E-2</v>
      </c>
      <c r="Y60" s="326">
        <v>0.46742274231984005</v>
      </c>
      <c r="Z60" s="326">
        <v>0.46742274231984005</v>
      </c>
    </row>
    <row r="61" spans="1:26">
      <c r="A61" t="s">
        <v>572</v>
      </c>
      <c r="B61">
        <v>61</v>
      </c>
      <c r="C61" s="326">
        <v>7.7802745098039208E-2</v>
      </c>
      <c r="D61" s="326">
        <v>0.17915189470721185</v>
      </c>
      <c r="E61" s="326">
        <v>6.4259133515667186E-2</v>
      </c>
      <c r="F61" s="326">
        <v>0.17171120301107309</v>
      </c>
      <c r="G61" s="380">
        <v>0.32493565540349184</v>
      </c>
      <c r="H61" s="380">
        <v>0.50452294736842129</v>
      </c>
      <c r="I61" s="326">
        <v>4.9729765726315801E-2</v>
      </c>
      <c r="J61" s="326">
        <v>0.31226008199155658</v>
      </c>
      <c r="K61" s="326">
        <v>3.61E-2</v>
      </c>
      <c r="L61" s="326">
        <v>0.43298409574352054</v>
      </c>
      <c r="M61" s="326">
        <v>4.0076919732589061E-2</v>
      </c>
      <c r="N61" s="380">
        <v>0.45023553625913909</v>
      </c>
      <c r="O61" s="380">
        <v>3.5101805771475756</v>
      </c>
      <c r="P61" s="380">
        <v>10.545868042651529</v>
      </c>
      <c r="Q61" s="380">
        <v>19.56490568240941</v>
      </c>
      <c r="R61" s="380">
        <v>1.8759350953702845</v>
      </c>
      <c r="S61" s="380">
        <v>25.953938237171378</v>
      </c>
      <c r="T61" s="326">
        <v>7.3165132769177257E-2</v>
      </c>
      <c r="U61" s="326">
        <v>0.26960627689424826</v>
      </c>
      <c r="V61" s="326">
        <v>0.18479320936284621</v>
      </c>
      <c r="W61" s="326">
        <v>1.367142638200225</v>
      </c>
      <c r="X61" s="326">
        <v>0.15545721065548138</v>
      </c>
      <c r="Y61" s="326">
        <v>0.45741917002609861</v>
      </c>
      <c r="Z61" s="326">
        <v>0.45741917002609855</v>
      </c>
    </row>
    <row r="62" spans="1:26">
      <c r="A62" t="s">
        <v>573</v>
      </c>
      <c r="B62">
        <v>111</v>
      </c>
      <c r="C62" s="326">
        <v>-5.543E-2</v>
      </c>
      <c r="D62" s="326">
        <v>0.1738784138272001</v>
      </c>
      <c r="E62" s="326">
        <v>7.5340895170879441E-2</v>
      </c>
      <c r="F62" s="326">
        <v>0.35618618474665642</v>
      </c>
      <c r="G62" s="380">
        <v>0.94639980978395732</v>
      </c>
      <c r="H62" s="380">
        <v>0.96314967088607595</v>
      </c>
      <c r="I62" s="326">
        <v>7.3028003281012652E-2</v>
      </c>
      <c r="J62" s="326">
        <v>0.91351576742305929</v>
      </c>
      <c r="K62" s="326">
        <v>8.1600000000000006E-2</v>
      </c>
      <c r="L62" s="326">
        <v>0.15145727916874852</v>
      </c>
      <c r="M62" s="326">
        <v>7.1360155225873148E-2</v>
      </c>
      <c r="N62" s="380">
        <v>0.44283973696838919</v>
      </c>
      <c r="O62" s="380">
        <v>3.240228609523975</v>
      </c>
      <c r="P62" s="380">
        <v>8.3786583067483988</v>
      </c>
      <c r="Q62" s="380">
        <v>18.141071555611529</v>
      </c>
      <c r="R62" s="380">
        <v>1.4930715755783746</v>
      </c>
      <c r="S62" s="380">
        <v>36.158047998058947</v>
      </c>
      <c r="T62" s="326">
        <v>0.13556523849277297</v>
      </c>
      <c r="U62" s="326">
        <v>0.18217023228808216</v>
      </c>
      <c r="V62" s="326">
        <v>1.0835478371876289E-2</v>
      </c>
      <c r="W62" s="326">
        <v>0.22252686175082451</v>
      </c>
      <c r="X62" s="326">
        <v>1.8869167196350352E-2</v>
      </c>
      <c r="Y62" s="326">
        <v>0.63784910912843396</v>
      </c>
      <c r="Z62" s="326">
        <v>0.63784910912843396</v>
      </c>
    </row>
    <row r="63" spans="1:26">
      <c r="A63" t="s">
        <v>660</v>
      </c>
      <c r="B63">
        <v>41</v>
      </c>
      <c r="C63" s="326">
        <v>-1.65095238095238E-2</v>
      </c>
      <c r="D63" s="326">
        <v>7.4283132125351176E-2</v>
      </c>
      <c r="E63" s="326">
        <v>0.13482425768748221</v>
      </c>
      <c r="F63" s="326">
        <v>0.308877583184197</v>
      </c>
      <c r="G63" s="380">
        <v>0.82623364138876865</v>
      </c>
      <c r="H63" s="380">
        <v>1.0189909743589745</v>
      </c>
      <c r="I63" s="326">
        <v>7.5864741497435897E-2</v>
      </c>
      <c r="J63" s="326">
        <v>0.54141231976377924</v>
      </c>
      <c r="K63" s="326">
        <v>3.9099999999999996E-2</v>
      </c>
      <c r="L63" s="326">
        <v>0.30792154895441359</v>
      </c>
      <c r="M63" s="326">
        <v>6.1654549533248615E-2</v>
      </c>
      <c r="N63" s="380">
        <v>2.0608688842425171</v>
      </c>
      <c r="O63" s="380">
        <v>1.042684047333206</v>
      </c>
      <c r="P63" s="380">
        <v>8.0228421221710864</v>
      </c>
      <c r="Q63" s="380">
        <v>13.853665507245449</v>
      </c>
      <c r="R63" s="380">
        <v>1.7588531606076856</v>
      </c>
      <c r="S63" s="380">
        <v>69.166306038067177</v>
      </c>
      <c r="T63" s="326">
        <v>0.11337882403360544</v>
      </c>
      <c r="U63" s="326">
        <v>2.6017570133447434E-2</v>
      </c>
      <c r="V63" s="326">
        <v>6.3302352670759603E-3</v>
      </c>
      <c r="W63" s="326">
        <v>0.10540501303367417</v>
      </c>
      <c r="X63" s="326">
        <v>-2.5097023647170195E-2</v>
      </c>
      <c r="Y63" s="326">
        <v>6.2742389729284042E-3</v>
      </c>
      <c r="Z63" s="326">
        <v>6.2742389729284476E-3</v>
      </c>
    </row>
    <row r="64" spans="1:26">
      <c r="A64" t="s">
        <v>574</v>
      </c>
      <c r="B64">
        <v>244</v>
      </c>
      <c r="C64" s="326">
        <v>0.15015940828402366</v>
      </c>
      <c r="D64" s="326">
        <v>0.22307720086226066</v>
      </c>
      <c r="E64" s="326">
        <v>3.0797432393043136E-2</v>
      </c>
      <c r="F64" s="326">
        <v>2.2347847901501298E-2</v>
      </c>
      <c r="G64" s="380">
        <v>0.421335920717823</v>
      </c>
      <c r="H64" s="380">
        <v>0.65925714782608735</v>
      </c>
      <c r="I64" s="326">
        <v>5.7590263109565235E-2</v>
      </c>
      <c r="J64" s="326">
        <v>0.32140323120719289</v>
      </c>
      <c r="K64" s="326">
        <v>3.61E-2</v>
      </c>
      <c r="L64" s="326">
        <v>0.43978543853331969</v>
      </c>
      <c r="M64" s="326">
        <v>4.4328857284275977E-2</v>
      </c>
      <c r="N64" s="380">
        <v>0.14081606788640541</v>
      </c>
      <c r="O64" s="380">
        <v>11.475026137681878</v>
      </c>
      <c r="P64" s="380">
        <v>20.788927836368664</v>
      </c>
      <c r="Q64" s="380">
        <v>46.796566651298498</v>
      </c>
      <c r="R64" s="380">
        <v>2.053728823595117</v>
      </c>
      <c r="S64" s="380">
        <v>42.50302517946843</v>
      </c>
      <c r="T64" s="326">
        <v>0.46352820456523974</v>
      </c>
      <c r="U64" s="326">
        <v>3.2267027527618217E-2</v>
      </c>
      <c r="V64" s="326">
        <v>-8.3940780485568425E-2</v>
      </c>
      <c r="W64" s="326">
        <v>-0.35980163194306702</v>
      </c>
      <c r="X64" s="326">
        <v>9.5369801534190515E-2</v>
      </c>
      <c r="Y64" s="326">
        <v>1.0486875180897337</v>
      </c>
      <c r="Z64" s="326">
        <v>1.0486875180897337</v>
      </c>
    </row>
    <row r="65" spans="1:26">
      <c r="A65" t="s">
        <v>575</v>
      </c>
      <c r="B65">
        <v>20</v>
      </c>
      <c r="C65" s="326">
        <v>0.13901666666666665</v>
      </c>
      <c r="D65" s="326">
        <v>0.11585584372209874</v>
      </c>
      <c r="E65" s="326">
        <v>2.2716325164062835E-2</v>
      </c>
      <c r="F65" s="326">
        <v>0.35932382063928314</v>
      </c>
      <c r="G65" s="380">
        <v>0.61355811294464702</v>
      </c>
      <c r="H65" s="380">
        <v>0.74950400000000006</v>
      </c>
      <c r="I65" s="326">
        <v>6.2174803200000003E-2</v>
      </c>
      <c r="J65" s="326">
        <v>0.44266156959705771</v>
      </c>
      <c r="K65" s="326">
        <v>3.9099999999999996E-2</v>
      </c>
      <c r="L65" s="326">
        <v>0.31177716947297784</v>
      </c>
      <c r="M65" s="326">
        <v>5.2054889413823566E-2</v>
      </c>
      <c r="N65" s="380">
        <v>0.20814717346424116</v>
      </c>
      <c r="O65" s="380">
        <v>7.4210403915065823</v>
      </c>
      <c r="P65" s="380">
        <v>28.916007346600793</v>
      </c>
      <c r="Q65" s="380">
        <v>63.215589520380583</v>
      </c>
      <c r="R65" s="380">
        <v>1.5996175605447276</v>
      </c>
      <c r="S65" s="380">
        <v>38.106621246528469</v>
      </c>
      <c r="T65" s="326">
        <v>0.65059020874751494</v>
      </c>
      <c r="U65" s="326">
        <v>3.5464987850673736E-2</v>
      </c>
      <c r="V65" s="326">
        <v>-5.1113458140048584E-2</v>
      </c>
      <c r="W65" s="326">
        <v>6.9910032673071595E-2</v>
      </c>
      <c r="X65" s="326">
        <v>4.6152039189415441E-2</v>
      </c>
      <c r="Y65" s="326">
        <v>0</v>
      </c>
      <c r="Z65" s="326">
        <v>0</v>
      </c>
    </row>
    <row r="66" spans="1:26">
      <c r="A66" t="s">
        <v>576</v>
      </c>
      <c r="B66">
        <v>10</v>
      </c>
      <c r="C66" s="326">
        <v>0.30990000000000001</v>
      </c>
      <c r="D66" s="326">
        <v>0.14635991789460856</v>
      </c>
      <c r="E66" s="326">
        <v>4.315030302184325E-2</v>
      </c>
      <c r="F66" s="326">
        <v>0.26414455110107282</v>
      </c>
      <c r="G66" s="380">
        <v>0.73331096910868621</v>
      </c>
      <c r="H66" s="380">
        <v>0.74512977777777789</v>
      </c>
      <c r="I66" s="326">
        <v>6.1952592711111115E-2</v>
      </c>
      <c r="J66" s="326">
        <v>0.41067832346576089</v>
      </c>
      <c r="K66" s="326">
        <v>3.9099999999999996E-2</v>
      </c>
      <c r="L66" s="326">
        <v>0.19096768161214267</v>
      </c>
      <c r="M66" s="326">
        <v>5.5796445337995333E-2</v>
      </c>
      <c r="N66" s="380">
        <v>0.33798512929127894</v>
      </c>
      <c r="O66" s="380">
        <v>6.2003245044433415</v>
      </c>
      <c r="P66" s="380">
        <v>11.961760842960453</v>
      </c>
      <c r="Q66" s="380">
        <v>29.067518427544943</v>
      </c>
      <c r="R66" s="380">
        <v>1.2498473018698335</v>
      </c>
      <c r="S66" s="380">
        <v>28.47432235643894</v>
      </c>
      <c r="T66" s="326">
        <v>1.974840777918851</v>
      </c>
      <c r="U66" s="326">
        <v>1.9527416799198484E-2</v>
      </c>
      <c r="V66" s="326">
        <v>-0.11849742022712595</v>
      </c>
      <c r="W66" s="326">
        <v>-2.1650425112524827</v>
      </c>
      <c r="X66" s="326">
        <v>4.1671641057931932E-2</v>
      </c>
      <c r="Y66" s="326">
        <v>0.2790910876825356</v>
      </c>
      <c r="Z66" s="326">
        <v>0.27909108768253565</v>
      </c>
    </row>
    <row r="67" spans="1:26">
      <c r="A67" t="s">
        <v>577</v>
      </c>
      <c r="B67">
        <v>60</v>
      </c>
      <c r="C67" s="326">
        <v>1.8947368421052637E-3</v>
      </c>
      <c r="D67" s="326">
        <v>7.5849937560476741E-2</v>
      </c>
      <c r="E67" s="326">
        <v>0.11048524973121876</v>
      </c>
      <c r="F67" s="326">
        <v>0.28259080016848037</v>
      </c>
      <c r="G67" s="380">
        <v>0.80185642216849129</v>
      </c>
      <c r="H67" s="380">
        <v>1.0225766666666665</v>
      </c>
      <c r="I67" s="326">
        <v>7.6046894666666656E-2</v>
      </c>
      <c r="J67" s="326">
        <v>0.54014341374190844</v>
      </c>
      <c r="K67" s="326">
        <v>3.9099999999999996E-2</v>
      </c>
      <c r="L67" s="326">
        <v>0.31840191287865272</v>
      </c>
      <c r="M67" s="326">
        <v>6.1295049179420621E-2</v>
      </c>
      <c r="N67" s="380">
        <v>1.5969085182421894</v>
      </c>
      <c r="O67" s="380">
        <v>1.9870560898931791</v>
      </c>
      <c r="P67" s="380">
        <v>14.07908968017451</v>
      </c>
      <c r="Q67" s="380">
        <v>24.607680867518138</v>
      </c>
      <c r="R67" s="380">
        <v>3.0621809661535138</v>
      </c>
      <c r="S67" s="380">
        <v>75.202581650243744</v>
      </c>
      <c r="T67" s="326">
        <v>0.14996608514019638</v>
      </c>
      <c r="U67" s="326">
        <v>1.5147385006388016E-2</v>
      </c>
      <c r="V67" s="326">
        <v>-1.27960646910907E-2</v>
      </c>
      <c r="W67" s="326">
        <v>3.6015613818999849E-2</v>
      </c>
      <c r="X67" s="326">
        <v>0.15059167628720296</v>
      </c>
      <c r="Y67" s="326">
        <v>9.8994121920223763E-2</v>
      </c>
      <c r="Z67" s="326">
        <v>9.8994121920223721E-2</v>
      </c>
    </row>
    <row r="68" spans="1:26">
      <c r="A68" t="s">
        <v>578</v>
      </c>
      <c r="B68">
        <v>70</v>
      </c>
      <c r="C68" s="326">
        <v>8.631935483870954E-3</v>
      </c>
      <c r="D68" s="326">
        <v>0.11092740518399107</v>
      </c>
      <c r="E68" s="326">
        <v>0.14588172329809124</v>
      </c>
      <c r="F68" s="326">
        <v>0.47660955134628963</v>
      </c>
      <c r="G68" s="380">
        <v>0.72607338801137411</v>
      </c>
      <c r="H68" s="380">
        <v>0.84953386666666675</v>
      </c>
      <c r="I68" s="326">
        <v>6.7256320426666669E-2</v>
      </c>
      <c r="J68" s="326">
        <v>0.5084978234562898</v>
      </c>
      <c r="K68" s="326">
        <v>3.9099999999999996E-2</v>
      </c>
      <c r="L68" s="326">
        <v>0.22831138601557821</v>
      </c>
      <c r="M68" s="326">
        <v>5.8685437838585479E-2</v>
      </c>
      <c r="N68" s="380">
        <v>1.4613203579830902</v>
      </c>
      <c r="O68" s="380">
        <v>2.0175762746827011</v>
      </c>
      <c r="P68" s="380">
        <v>11.678995367261026</v>
      </c>
      <c r="Q68" s="380">
        <v>18.393647265223873</v>
      </c>
      <c r="R68" s="380">
        <v>4.1181410281239881</v>
      </c>
      <c r="S68" s="380">
        <v>21.935351348497772</v>
      </c>
      <c r="T68" s="326">
        <v>0.19927336785099717</v>
      </c>
      <c r="U68" s="326">
        <v>4.8532282242623598E-2</v>
      </c>
      <c r="V68" s="326">
        <v>3.8970474752028424E-2</v>
      </c>
      <c r="W68" s="326">
        <v>0.50389727785556615</v>
      </c>
      <c r="X68" s="326">
        <v>5.2604951820003937E-2</v>
      </c>
      <c r="Y68" s="326">
        <v>2.0082799967177452</v>
      </c>
      <c r="Z68" s="326">
        <v>2.0082799967177452</v>
      </c>
    </row>
    <row r="69" spans="1:26">
      <c r="A69" t="s">
        <v>579</v>
      </c>
      <c r="B69">
        <v>3</v>
      </c>
      <c r="C69" s="326">
        <v>-2.8699999999999996E-2</v>
      </c>
      <c r="D69" s="326">
        <v>7.3055318687141588E-2</v>
      </c>
      <c r="E69" s="326">
        <v>5.9739574603904916E-2</v>
      </c>
      <c r="F69" s="326">
        <v>0.28523045206891473</v>
      </c>
      <c r="G69" s="380">
        <v>0.46721027861075448</v>
      </c>
      <c r="H69" s="380">
        <v>0.5215280000000001</v>
      </c>
      <c r="I69" s="326">
        <v>5.0593622400000003E-2</v>
      </c>
      <c r="J69" s="326">
        <v>0.18991191418399067</v>
      </c>
      <c r="K69" s="326">
        <v>3.1099999999999999E-2</v>
      </c>
      <c r="L69" s="326">
        <v>0.21707738768838958</v>
      </c>
      <c r="M69" s="326">
        <v>4.4741732151117986E-2</v>
      </c>
      <c r="N69" s="380">
        <v>0.91793908332078877</v>
      </c>
      <c r="O69" s="380">
        <v>1.229427228246069</v>
      </c>
      <c r="P69" s="380">
        <v>14.250264258221415</v>
      </c>
      <c r="Q69" s="380">
        <v>16.722344860237076</v>
      </c>
      <c r="R69" s="380">
        <v>1.1323391976822972</v>
      </c>
      <c r="S69" s="380">
        <v>486.85531898448011</v>
      </c>
      <c r="T69" s="326">
        <v>3.8714958492760798E-2</v>
      </c>
      <c r="U69" s="326">
        <v>4.4654950037831759E-3</v>
      </c>
      <c r="V69" s="326">
        <v>3.8476389476036757E-3</v>
      </c>
      <c r="W69" s="326">
        <v>0.79884368467910793</v>
      </c>
      <c r="X69" s="326">
        <v>6.0472745053135844E-2</v>
      </c>
      <c r="Y69" s="326">
        <v>0.11401784983214608</v>
      </c>
      <c r="Z69" s="326">
        <v>0.11401784983214602</v>
      </c>
    </row>
    <row r="70" spans="1:26">
      <c r="A70" t="s">
        <v>580</v>
      </c>
      <c r="B70">
        <v>81</v>
      </c>
      <c r="C70" s="326">
        <v>0.14114125000000002</v>
      </c>
      <c r="D70" s="326">
        <v>0.14545375408374667</v>
      </c>
      <c r="E70" s="326">
        <v>0.17008714699999702</v>
      </c>
      <c r="F70" s="326">
        <v>0.31123377480539066</v>
      </c>
      <c r="G70" s="380">
        <v>0.69579089837083374</v>
      </c>
      <c r="H70" s="380">
        <v>0.85012096000000004</v>
      </c>
      <c r="I70" s="326">
        <v>6.7286144768000003E-2</v>
      </c>
      <c r="J70" s="326">
        <v>0.48406407784006877</v>
      </c>
      <c r="K70" s="326">
        <v>3.9099999999999996E-2</v>
      </c>
      <c r="L70" s="326">
        <v>0.24361248835730831</v>
      </c>
      <c r="M70" s="326">
        <v>5.8133588313123215E-2</v>
      </c>
      <c r="N70" s="380">
        <v>1.3755739583746898</v>
      </c>
      <c r="O70" s="380">
        <v>3.5412185241897327</v>
      </c>
      <c r="P70" s="380">
        <v>13.838569673570673</v>
      </c>
      <c r="Q70" s="380">
        <v>24.317350093026366</v>
      </c>
      <c r="R70" s="380">
        <v>77.394874764872213</v>
      </c>
      <c r="S70" s="380">
        <v>49.463306816606867</v>
      </c>
      <c r="T70" s="326">
        <v>9.7156904851230727E-3</v>
      </c>
      <c r="U70" s="326">
        <v>5.9976025041263627E-2</v>
      </c>
      <c r="V70" s="326">
        <v>2.2811350949333141E-2</v>
      </c>
      <c r="W70" s="326">
        <v>0.24704531787591727</v>
      </c>
      <c r="X70" s="326">
        <v>0.9566950769735667</v>
      </c>
      <c r="Y70" s="326">
        <v>0.51118054725705275</v>
      </c>
      <c r="Z70" s="326">
        <v>0.51118054725705275</v>
      </c>
    </row>
    <row r="71" spans="1:26">
      <c r="A71" t="s">
        <v>581</v>
      </c>
      <c r="B71">
        <v>25</v>
      </c>
      <c r="C71" s="326">
        <v>9.9426666666666663E-2</v>
      </c>
      <c r="D71" s="326">
        <v>5.3908599430081097E-2</v>
      </c>
      <c r="E71" s="326">
        <v>0.1037815523972625</v>
      </c>
      <c r="F71" s="326">
        <v>0.34171994484141915</v>
      </c>
      <c r="G71" s="380">
        <v>0.64728168498738969</v>
      </c>
      <c r="H71" s="380">
        <v>1.0108533333333338</v>
      </c>
      <c r="I71" s="326">
        <v>7.5451349333333362E-2</v>
      </c>
      <c r="J71" s="326">
        <v>0.42622924960257097</v>
      </c>
      <c r="K71" s="326">
        <v>3.9099999999999996E-2</v>
      </c>
      <c r="L71" s="326">
        <v>0.43168983325475663</v>
      </c>
      <c r="M71" s="326">
        <v>5.5707864005778637E-2</v>
      </c>
      <c r="N71" s="380">
        <v>2.3778162705211692</v>
      </c>
      <c r="O71" s="380">
        <v>0.94862532647611952</v>
      </c>
      <c r="P71" s="380">
        <v>10.997643074859266</v>
      </c>
      <c r="Q71" s="380">
        <v>17.535264668200202</v>
      </c>
      <c r="R71" s="380">
        <v>5.2213911727318258</v>
      </c>
      <c r="S71" s="380">
        <v>16.091630003180136</v>
      </c>
      <c r="T71" s="326">
        <v>0.1298948574936741</v>
      </c>
      <c r="U71" s="326">
        <v>2.0572318487914413E-2</v>
      </c>
      <c r="V71" s="326">
        <v>2.1535851558282519E-2</v>
      </c>
      <c r="W71" s="326">
        <v>0.82035899644501897</v>
      </c>
      <c r="X71" s="326">
        <v>0.34258249090490794</v>
      </c>
      <c r="Y71" s="326">
        <v>4.594572523992603E-2</v>
      </c>
      <c r="Z71" s="326">
        <v>4.5945725239926016E-2</v>
      </c>
    </row>
    <row r="72" spans="1:26">
      <c r="A72" t="s">
        <v>582</v>
      </c>
      <c r="B72">
        <v>8</v>
      </c>
      <c r="C72" s="326">
        <v>5.4079999999999996E-2</v>
      </c>
      <c r="D72" s="326">
        <v>0.11630149379123988</v>
      </c>
      <c r="E72" s="326">
        <v>0.30300046876164194</v>
      </c>
      <c r="F72" s="326">
        <v>0.36287930047363764</v>
      </c>
      <c r="G72" s="380">
        <v>0.76337725014628455</v>
      </c>
      <c r="H72" s="380">
        <v>0.85650742857142848</v>
      </c>
      <c r="I72" s="326">
        <v>6.761057737142856E-2</v>
      </c>
      <c r="J72" s="326">
        <v>0.5344483409793267</v>
      </c>
      <c r="K72" s="326">
        <v>3.9099999999999996E-2</v>
      </c>
      <c r="L72" s="326">
        <v>0.15152803155802796</v>
      </c>
      <c r="M72" s="326">
        <v>6.1868486655612599E-2</v>
      </c>
      <c r="N72" s="380">
        <v>3.078016242795715</v>
      </c>
      <c r="O72" s="380">
        <v>2.0547436114308537</v>
      </c>
      <c r="P72" s="380">
        <v>13.519066779089581</v>
      </c>
      <c r="Q72" s="380">
        <v>17.663876248838605</v>
      </c>
      <c r="R72" s="380">
        <v>32.980726460836827</v>
      </c>
      <c r="S72" s="380">
        <v>34.845443084430613</v>
      </c>
      <c r="T72" s="326">
        <v>5.9861948000285957E-2</v>
      </c>
      <c r="U72" s="326">
        <v>1.8013509603524165E-2</v>
      </c>
      <c r="V72" s="326">
        <v>3.5845675247847368E-3</v>
      </c>
      <c r="W72" s="326">
        <v>3.4579106321163525E-2</v>
      </c>
      <c r="X72" s="326">
        <v>0.91259911677304073</v>
      </c>
      <c r="Y72" s="326">
        <v>0.43636676674091529</v>
      </c>
      <c r="Z72" s="326">
        <v>0.43636676674091524</v>
      </c>
    </row>
    <row r="73" spans="1:26">
      <c r="A73" t="s">
        <v>583</v>
      </c>
      <c r="B73">
        <v>92</v>
      </c>
      <c r="C73" s="326">
        <v>6.4555555555555533E-2</v>
      </c>
      <c r="D73" s="326">
        <v>7.9709325249376684E-2</v>
      </c>
      <c r="E73" s="326">
        <v>0.13182520508686749</v>
      </c>
      <c r="F73" s="326">
        <v>0.34219407989955453</v>
      </c>
      <c r="G73" s="380">
        <v>0.87123518742109773</v>
      </c>
      <c r="H73" s="380">
        <v>1.1487356842105261</v>
      </c>
      <c r="I73" s="326">
        <v>8.2455772757894716E-2</v>
      </c>
      <c r="J73" s="326">
        <v>0.4923922315042048</v>
      </c>
      <c r="K73" s="326">
        <v>3.9099999999999996E-2</v>
      </c>
      <c r="L73" s="326">
        <v>0.31308397881612954</v>
      </c>
      <c r="M73" s="326">
        <v>6.5943794860994526E-2</v>
      </c>
      <c r="N73" s="380">
        <v>1.9274816896710598</v>
      </c>
      <c r="O73" s="380">
        <v>1.3639781284198793</v>
      </c>
      <c r="P73" s="380">
        <v>13.480813650136794</v>
      </c>
      <c r="Q73" s="380">
        <v>17.060540630481682</v>
      </c>
      <c r="R73" s="380">
        <v>3.4680268992136565</v>
      </c>
      <c r="S73" s="380">
        <v>111.56489529293881</v>
      </c>
      <c r="T73" s="326">
        <v>0.17157613042908484</v>
      </c>
      <c r="U73" s="326">
        <v>4.3362408051187622E-2</v>
      </c>
      <c r="V73" s="326">
        <v>5.2486157886092344E-2</v>
      </c>
      <c r="W73" s="326">
        <v>1.1102797949448526</v>
      </c>
      <c r="X73" s="326">
        <v>0.16051295022336393</v>
      </c>
      <c r="Y73" s="326">
        <v>0.30208034561573283</v>
      </c>
      <c r="Z73" s="326">
        <v>0.30208034561573283</v>
      </c>
    </row>
    <row r="74" spans="1:26">
      <c r="A74" t="s">
        <v>584</v>
      </c>
      <c r="B74">
        <v>18</v>
      </c>
      <c r="C74" s="326">
        <v>2.0755624999999993E-2</v>
      </c>
      <c r="D74" s="326">
        <v>4.2077384240752143E-2</v>
      </c>
      <c r="E74" s="326">
        <v>0.11902996347107103</v>
      </c>
      <c r="F74" s="326">
        <v>0.3278435065230928</v>
      </c>
      <c r="G74" s="380">
        <v>0.87430045257361966</v>
      </c>
      <c r="H74" s="380">
        <v>1.0500875555555558</v>
      </c>
      <c r="I74" s="326">
        <v>7.7444447822222234E-2</v>
      </c>
      <c r="J74" s="326">
        <v>0.49939769837804354</v>
      </c>
      <c r="K74" s="326">
        <v>3.9099999999999996E-2</v>
      </c>
      <c r="L74" s="326">
        <v>0.23751299082702901</v>
      </c>
      <c r="M74" s="326">
        <v>6.6108321432434433E-2</v>
      </c>
      <c r="N74" s="380">
        <v>3.6718992160620263</v>
      </c>
      <c r="O74" s="380">
        <v>0.7420475392844923</v>
      </c>
      <c r="P74" s="380">
        <v>9.4658421872138856</v>
      </c>
      <c r="Q74" s="380">
        <v>17.420404717644082</v>
      </c>
      <c r="R74" s="380">
        <v>3.9971042714149085</v>
      </c>
      <c r="S74" s="380">
        <v>21.018223637806333</v>
      </c>
      <c r="T74" s="326">
        <v>2.2386138873178207E-2</v>
      </c>
      <c r="U74" s="326">
        <v>2.2698017140037351E-2</v>
      </c>
      <c r="V74" s="326">
        <v>4.1577552788982805E-4</v>
      </c>
      <c r="W74" s="326">
        <v>-0.2292116648234164</v>
      </c>
      <c r="X74" s="326">
        <v>0.1609548762573311</v>
      </c>
      <c r="Y74" s="326">
        <v>0.49526824501534139</v>
      </c>
      <c r="Z74" s="326">
        <v>0.49526824501534139</v>
      </c>
    </row>
    <row r="75" spans="1:26">
      <c r="A75" t="s">
        <v>585</v>
      </c>
      <c r="B75">
        <v>14</v>
      </c>
      <c r="C75" s="326">
        <v>5.3900000000000003E-2</v>
      </c>
      <c r="D75" s="326">
        <v>2.3320671042961226E-2</v>
      </c>
      <c r="E75" s="326">
        <v>8.7476307516340085E-2</v>
      </c>
      <c r="F75" s="326">
        <v>0.33752350590001406</v>
      </c>
      <c r="G75" s="380">
        <v>0.43896032167678312</v>
      </c>
      <c r="H75" s="380">
        <v>0.70657538461538449</v>
      </c>
      <c r="I75" s="326">
        <v>5.999402953846153E-2</v>
      </c>
      <c r="J75" s="326">
        <v>0.45726609179578859</v>
      </c>
      <c r="K75" s="326">
        <v>3.9099999999999996E-2</v>
      </c>
      <c r="L75" s="326">
        <v>0.45557988168412128</v>
      </c>
      <c r="M75" s="326">
        <v>4.6199968423700895E-2</v>
      </c>
      <c r="N75" s="380">
        <v>4.7503871221498581</v>
      </c>
      <c r="O75" s="380">
        <v>0.40507438740988794</v>
      </c>
      <c r="P75" s="380">
        <v>7.1584057447413327</v>
      </c>
      <c r="Q75" s="380">
        <v>17.369252459961153</v>
      </c>
      <c r="R75" s="380">
        <v>3.3012271024426214</v>
      </c>
      <c r="S75" s="380">
        <v>40.72122511360967</v>
      </c>
      <c r="T75" s="326">
        <v>6.5542078354405373E-3</v>
      </c>
      <c r="U75" s="326">
        <v>2.622845117333561E-2</v>
      </c>
      <c r="V75" s="326">
        <v>7.2868863437662024E-3</v>
      </c>
      <c r="W75" s="326">
        <v>0.46141835322679614</v>
      </c>
      <c r="X75" s="326">
        <v>0.24431742838415871</v>
      </c>
      <c r="Y75" s="326">
        <v>0.2102185168457433</v>
      </c>
      <c r="Z75" s="326">
        <v>0.21021851684574333</v>
      </c>
    </row>
    <row r="76" spans="1:26">
      <c r="A76" t="s">
        <v>586</v>
      </c>
      <c r="B76">
        <v>61</v>
      </c>
      <c r="C76" s="326">
        <v>0.10160045454545454</v>
      </c>
      <c r="D76" s="326">
        <v>4.1416028546849323E-2</v>
      </c>
      <c r="E76" s="326">
        <v>0.13396498378906091</v>
      </c>
      <c r="F76" s="326">
        <v>0.23309810093598396</v>
      </c>
      <c r="G76" s="380">
        <v>1.123659807701672</v>
      </c>
      <c r="H76" s="380">
        <v>1.1818858867924533</v>
      </c>
      <c r="I76" s="326">
        <v>8.4139803049056633E-2</v>
      </c>
      <c r="J76" s="326">
        <v>0.60635345709831356</v>
      </c>
      <c r="K76" s="326">
        <v>3.9099999999999996E-2</v>
      </c>
      <c r="L76" s="326">
        <v>0.10244623627905242</v>
      </c>
      <c r="M76" s="326">
        <v>7.8564289262688367E-2</v>
      </c>
      <c r="N76" s="380">
        <v>3.4732226455333515</v>
      </c>
      <c r="O76" s="380">
        <v>3.576982609398244</v>
      </c>
      <c r="P76" s="380">
        <v>32.470096860511731</v>
      </c>
      <c r="Q76" s="380">
        <v>93.527527061329138</v>
      </c>
      <c r="R76" s="380">
        <v>9.3726917178665445</v>
      </c>
      <c r="S76" s="380">
        <v>64.870381376112888</v>
      </c>
      <c r="T76" s="326">
        <v>-4.3221815591399466E-3</v>
      </c>
      <c r="U76" s="326">
        <v>4.9181288868190752E-2</v>
      </c>
      <c r="V76" s="326">
        <v>4.8487902696058592E-2</v>
      </c>
      <c r="W76" s="326">
        <v>1.5875079266865426</v>
      </c>
      <c r="X76" s="326">
        <v>0.18717874918043209</v>
      </c>
      <c r="Y76" s="326">
        <v>6.4637724763541474E-2</v>
      </c>
      <c r="Z76" s="326">
        <v>6.463772476354146E-2</v>
      </c>
    </row>
    <row r="77" spans="1:26">
      <c r="A77" t="s">
        <v>587</v>
      </c>
      <c r="B77">
        <v>106</v>
      </c>
      <c r="C77" s="326">
        <v>4.8983802816901408E-2</v>
      </c>
      <c r="D77" s="326">
        <v>5.8248628607144401E-2</v>
      </c>
      <c r="E77" s="326">
        <v>0.11691704433264821</v>
      </c>
      <c r="F77" s="326">
        <v>0.32950169150844399</v>
      </c>
      <c r="G77" s="380">
        <v>0.82009589746205391</v>
      </c>
      <c r="H77" s="380">
        <v>1.1111364210526322</v>
      </c>
      <c r="I77" s="326">
        <v>8.054573018947371E-2</v>
      </c>
      <c r="J77" s="326">
        <v>0.59678948350789141</v>
      </c>
      <c r="K77" s="326">
        <v>3.9099999999999996E-2</v>
      </c>
      <c r="L77" s="326">
        <v>0.34639279637741061</v>
      </c>
      <c r="M77" s="326">
        <v>6.2938677810032623E-2</v>
      </c>
      <c r="N77" s="380">
        <v>2.5733549630712673</v>
      </c>
      <c r="O77" s="380">
        <v>0.94225883204058347</v>
      </c>
      <c r="P77" s="380">
        <v>7.9118761806056517</v>
      </c>
      <c r="Q77" s="380">
        <v>16.164833354016356</v>
      </c>
      <c r="R77" s="380">
        <v>3.4340654864705717</v>
      </c>
      <c r="S77" s="380">
        <v>34.983124254600575</v>
      </c>
      <c r="T77" s="326">
        <v>7.0036952836220523E-2</v>
      </c>
      <c r="U77" s="326">
        <v>2.0803402189430709E-2</v>
      </c>
      <c r="V77" s="326">
        <v>3.8018074127331622E-3</v>
      </c>
      <c r="W77" s="326">
        <v>-3.6004087571778642E-2</v>
      </c>
      <c r="X77" s="326">
        <v>0.16587831512988002</v>
      </c>
      <c r="Y77" s="326">
        <v>0.40015106482830964</v>
      </c>
      <c r="Z77" s="326">
        <v>0.40015106482830964</v>
      </c>
    </row>
    <row r="78" spans="1:26">
      <c r="A78" t="s">
        <v>588</v>
      </c>
      <c r="B78">
        <v>4</v>
      </c>
      <c r="C78" s="326">
        <v>-6.4650000000000013E-2</v>
      </c>
      <c r="D78" s="326">
        <v>0.10333491527683085</v>
      </c>
      <c r="E78" s="326">
        <v>0.13957592440742742</v>
      </c>
      <c r="F78" s="326">
        <v>7.876882289177084E-2</v>
      </c>
      <c r="G78" s="380">
        <v>0.63726360428336914</v>
      </c>
      <c r="H78" s="380">
        <v>0.952824</v>
      </c>
      <c r="I78" s="326">
        <v>7.2503459199999995E-2</v>
      </c>
      <c r="J78" s="326">
        <v>0.56236112819903739</v>
      </c>
      <c r="K78" s="326">
        <v>3.9099999999999996E-2</v>
      </c>
      <c r="L78" s="326">
        <v>0.43817477343815686</v>
      </c>
      <c r="M78" s="326">
        <v>5.3755073959045614E-2</v>
      </c>
      <c r="N78" s="380">
        <v>1.4664188739300466</v>
      </c>
      <c r="O78" s="380">
        <v>0.92447906135617031</v>
      </c>
      <c r="P78" s="380">
        <v>5.5961928014983107</v>
      </c>
      <c r="Q78" s="380">
        <v>8.8657213089346172</v>
      </c>
      <c r="R78" s="380">
        <v>1.5530720795567412</v>
      </c>
      <c r="S78" s="380">
        <v>77.731755225703594</v>
      </c>
      <c r="T78" s="326">
        <v>0.15991375617398307</v>
      </c>
      <c r="U78" s="326">
        <v>6.4559751471797461E-2</v>
      </c>
      <c r="V78" s="326">
        <v>1.7163411521356215E-2</v>
      </c>
      <c r="W78" s="326">
        <v>0.40144197343650201</v>
      </c>
      <c r="X78" s="326">
        <v>0.21437729990800367</v>
      </c>
      <c r="Y78" s="326">
        <v>0.10317625286647265</v>
      </c>
      <c r="Z78" s="326">
        <v>0.1031762528664727</v>
      </c>
    </row>
    <row r="79" spans="1:26">
      <c r="A79" t="s">
        <v>589</v>
      </c>
      <c r="B79">
        <v>72</v>
      </c>
      <c r="C79" s="326">
        <v>8.7238571428571415E-2</v>
      </c>
      <c r="D79" s="326">
        <v>0.26068517143462905</v>
      </c>
      <c r="E79" s="326">
        <v>0.16128529346193524</v>
      </c>
      <c r="F79" s="326">
        <v>0.18897303544697669</v>
      </c>
      <c r="G79" s="380">
        <v>1.1567611674673315</v>
      </c>
      <c r="H79" s="380">
        <v>1.17248847761194</v>
      </c>
      <c r="I79" s="326">
        <v>8.3662414662686549E-2</v>
      </c>
      <c r="J79" s="326">
        <v>0.52676201419733037</v>
      </c>
      <c r="K79" s="326">
        <v>3.9099999999999996E-2</v>
      </c>
      <c r="L79" s="326">
        <v>0.11580513369906757</v>
      </c>
      <c r="M79" s="326">
        <v>7.7415142900088788E-2</v>
      </c>
      <c r="N79" s="380">
        <v>0.67042359674974616</v>
      </c>
      <c r="O79" s="380">
        <v>4.3519674739673233</v>
      </c>
      <c r="P79" s="380">
        <v>11.820198278273477</v>
      </c>
      <c r="Q79" s="380">
        <v>17.048973465871722</v>
      </c>
      <c r="R79" s="380">
        <v>3.9400028639929325</v>
      </c>
      <c r="S79" s="380">
        <v>43.795695283687813</v>
      </c>
      <c r="T79" s="326">
        <v>0.17808553342063091</v>
      </c>
      <c r="U79" s="326">
        <v>0.11426671782697986</v>
      </c>
      <c r="V79" s="326">
        <v>0.2354823909961774</v>
      </c>
      <c r="W79" s="326">
        <v>1.311815988997352</v>
      </c>
      <c r="X79" s="326">
        <v>0.19872114143616104</v>
      </c>
      <c r="Y79" s="326">
        <v>0.37482091505200676</v>
      </c>
      <c r="Z79" s="326">
        <v>0.37482091505200676</v>
      </c>
    </row>
    <row r="80" spans="1:26">
      <c r="A80" t="s">
        <v>590</v>
      </c>
      <c r="B80">
        <v>45</v>
      </c>
      <c r="C80" s="326">
        <v>5.40116129032258E-2</v>
      </c>
      <c r="D80" s="326">
        <v>0.23658749572827742</v>
      </c>
      <c r="E80" s="326">
        <v>0.29056277229654887</v>
      </c>
      <c r="F80" s="326">
        <v>0.11669200456289536</v>
      </c>
      <c r="G80" s="380">
        <v>0.98519547259696216</v>
      </c>
      <c r="H80" s="380">
        <v>0.98194000000000026</v>
      </c>
      <c r="I80" s="326">
        <v>7.3982552000000007E-2</v>
      </c>
      <c r="J80" s="326">
        <v>0.61043147021180055</v>
      </c>
      <c r="K80" s="326">
        <v>3.9099999999999996E-2</v>
      </c>
      <c r="L80" s="326">
        <v>0.10341865142542182</v>
      </c>
      <c r="M80" s="326">
        <v>6.94045648889067E-2</v>
      </c>
      <c r="N80" s="380">
        <v>1.3365085529441227</v>
      </c>
      <c r="O80" s="380">
        <v>3.2273795519182911</v>
      </c>
      <c r="P80" s="380">
        <v>11.661839831126516</v>
      </c>
      <c r="Q80" s="380">
        <v>14.301310961306353</v>
      </c>
      <c r="R80" s="380">
        <v>4.4997531793615364</v>
      </c>
      <c r="S80" s="380">
        <v>23.711714407370092</v>
      </c>
      <c r="T80" s="326">
        <v>0.23104686535790878</v>
      </c>
      <c r="U80" s="326">
        <v>3.7573700664086003E-2</v>
      </c>
      <c r="V80" s="326">
        <v>4.5698690459335771E-2</v>
      </c>
      <c r="W80" s="326">
        <v>0.41948520551875856</v>
      </c>
      <c r="X80" s="326">
        <v>0.33628480236203168</v>
      </c>
      <c r="Y80" s="326">
        <v>0.14934746632991208</v>
      </c>
      <c r="Z80" s="326">
        <v>0.14934746632991214</v>
      </c>
    </row>
    <row r="81" spans="1:26">
      <c r="A81" t="s">
        <v>591</v>
      </c>
      <c r="B81">
        <v>9</v>
      </c>
      <c r="C81" s="326">
        <v>-4.4366666666666665E-2</v>
      </c>
      <c r="D81" s="326">
        <v>7.4003531777101075E-2</v>
      </c>
      <c r="E81" s="326">
        <v>4.8768040972795669E-2</v>
      </c>
      <c r="F81" s="326">
        <v>0.36457058967457795</v>
      </c>
      <c r="G81" s="380">
        <v>1.0134798161115919</v>
      </c>
      <c r="H81" s="380">
        <v>1.3406053333333334</v>
      </c>
      <c r="I81" s="326">
        <v>9.2202750933333327E-2</v>
      </c>
      <c r="J81" s="326">
        <v>0.94398944225482639</v>
      </c>
      <c r="K81" s="326">
        <v>8.1600000000000006E-2</v>
      </c>
      <c r="L81" s="326">
        <v>0.3195125116874355</v>
      </c>
      <c r="M81" s="326">
        <v>8.255770632294096E-2</v>
      </c>
      <c r="N81" s="380">
        <v>0.71873975287745451</v>
      </c>
      <c r="O81" s="380">
        <v>2.2850127983898316</v>
      </c>
      <c r="P81" s="380">
        <v>10.69817271923827</v>
      </c>
      <c r="Q81" s="380">
        <v>26.311395948597433</v>
      </c>
      <c r="R81" s="380">
        <v>1.4680415080914153</v>
      </c>
      <c r="S81" s="380">
        <v>24.785129905464391</v>
      </c>
      <c r="T81" s="326">
        <v>0.22211166870923957</v>
      </c>
      <c r="U81" s="326">
        <v>0.15566568782508433</v>
      </c>
      <c r="V81" s="326">
        <v>0.15948263428440035</v>
      </c>
      <c r="W81" s="326">
        <v>3.8361223188954598</v>
      </c>
      <c r="X81" s="326">
        <v>-1.8763961280714815E-2</v>
      </c>
      <c r="Y81" s="326">
        <v>9.9168646080760093E-4</v>
      </c>
      <c r="Z81" s="326">
        <v>9.9168646080760592E-4</v>
      </c>
    </row>
    <row r="82" spans="1:26">
      <c r="A82" t="s">
        <v>592</v>
      </c>
      <c r="B82">
        <v>11</v>
      </c>
      <c r="C82" s="326">
        <v>6.6424999999999998E-2</v>
      </c>
      <c r="D82" s="326">
        <v>0.11374406867343187</v>
      </c>
      <c r="E82" s="326">
        <v>0.20404001919502757</v>
      </c>
      <c r="F82" s="326">
        <v>0.13901017492699919</v>
      </c>
      <c r="G82" s="380">
        <v>0.86065185848202708</v>
      </c>
      <c r="H82" s="380">
        <v>0.88091600000000025</v>
      </c>
      <c r="I82" s="326">
        <v>6.8850532800000017E-2</v>
      </c>
      <c r="J82" s="326">
        <v>0.44394077180425084</v>
      </c>
      <c r="K82" s="326">
        <v>3.9099999999999996E-2</v>
      </c>
      <c r="L82" s="326">
        <v>8.803981867614652E-2</v>
      </c>
      <c r="M82" s="326">
        <v>6.5405135628312294E-2</v>
      </c>
      <c r="N82" s="380">
        <v>2.1552551557113127</v>
      </c>
      <c r="O82" s="380">
        <v>2.6758116850251072</v>
      </c>
      <c r="P82" s="380">
        <v>16.793354398363022</v>
      </c>
      <c r="Q82" s="380">
        <v>23.500499807851099</v>
      </c>
      <c r="R82" s="380">
        <v>6.8455617107454243</v>
      </c>
      <c r="S82" s="380">
        <v>35.876891093593805</v>
      </c>
      <c r="T82" s="326">
        <v>0.20191147012715555</v>
      </c>
      <c r="U82" s="326">
        <v>5.2336265458979266E-3</v>
      </c>
      <c r="V82" s="326">
        <v>-1.5069844103814673E-2</v>
      </c>
      <c r="W82" s="326">
        <v>-0.15619463466600778</v>
      </c>
      <c r="X82" s="326">
        <v>0.25321337061283344</v>
      </c>
      <c r="Y82" s="326">
        <v>0.28493744217756123</v>
      </c>
      <c r="Z82" s="326">
        <v>0.28493744217756123</v>
      </c>
    </row>
    <row r="83" spans="1:26">
      <c r="A83" t="s">
        <v>593</v>
      </c>
      <c r="B83">
        <v>13</v>
      </c>
      <c r="C83" s="326">
        <v>2.9579999999999992E-2</v>
      </c>
      <c r="D83" s="326">
        <v>0.22053467152362849</v>
      </c>
      <c r="E83" s="326">
        <v>0.2779404350031538</v>
      </c>
      <c r="F83" s="326">
        <v>0.13927641261101492</v>
      </c>
      <c r="G83" s="380">
        <v>0.9110162753522365</v>
      </c>
      <c r="H83" s="380">
        <v>0.89102981818181837</v>
      </c>
      <c r="I83" s="326">
        <v>6.9364314763636373E-2</v>
      </c>
      <c r="J83" s="326">
        <v>0.49614375430824476</v>
      </c>
      <c r="K83" s="326">
        <v>3.9099999999999996E-2</v>
      </c>
      <c r="L83" s="326">
        <v>6.0592927396480964E-2</v>
      </c>
      <c r="M83" s="326">
        <v>6.6961907305770535E-2</v>
      </c>
      <c r="N83" s="380">
        <v>1.2868706584998693</v>
      </c>
      <c r="O83" s="380">
        <v>6.3896843609700218</v>
      </c>
      <c r="P83" s="380">
        <v>21.972541753464263</v>
      </c>
      <c r="Q83" s="380">
        <v>30.098309577879494</v>
      </c>
      <c r="R83" s="380">
        <v>5.5298537374607752</v>
      </c>
      <c r="S83" s="380">
        <v>42.652740727760232</v>
      </c>
      <c r="T83" s="326">
        <v>0.20725787947268301</v>
      </c>
      <c r="U83" s="326">
        <v>2.2278370237164592E-2</v>
      </c>
      <c r="V83" s="326">
        <v>-6.6747731474935106E-3</v>
      </c>
      <c r="W83" s="326">
        <v>8.5710371745920402E-2</v>
      </c>
      <c r="X83" s="326">
        <v>0.16334166239068967</v>
      </c>
      <c r="Y83" s="326">
        <v>9.5661520299667027E-2</v>
      </c>
      <c r="Z83" s="326">
        <v>9.5661520299667013E-2</v>
      </c>
    </row>
    <row r="84" spans="1:26">
      <c r="A84" t="s">
        <v>594</v>
      </c>
      <c r="B84">
        <v>305</v>
      </c>
      <c r="C84" s="326">
        <v>0.19717178571428573</v>
      </c>
      <c r="D84" s="326">
        <v>0.26039471725099839</v>
      </c>
      <c r="E84" s="326">
        <v>0.16634693330054598</v>
      </c>
      <c r="F84" s="326">
        <v>0.15824291922396991</v>
      </c>
      <c r="G84" s="380">
        <v>1.1991307944510419</v>
      </c>
      <c r="H84" s="380">
        <v>1.2033409053497943</v>
      </c>
      <c r="I84" s="326">
        <v>8.5229717991769552E-2</v>
      </c>
      <c r="J84" s="326">
        <v>0.65595239422637031</v>
      </c>
      <c r="K84" s="326">
        <v>4.6600000000000003E-2</v>
      </c>
      <c r="L84" s="326">
        <v>3.2098547574430196E-2</v>
      </c>
      <c r="M84" s="326">
        <v>8.363076999495149E-2</v>
      </c>
      <c r="N84" s="380">
        <v>0.65410370744738877</v>
      </c>
      <c r="O84" s="380">
        <v>8.040099716913323</v>
      </c>
      <c r="P84" s="380">
        <v>22.892820387959951</v>
      </c>
      <c r="Q84" s="380">
        <v>31.930739569596135</v>
      </c>
      <c r="R84" s="380">
        <v>4.9674747973551758</v>
      </c>
      <c r="S84" s="380">
        <v>76.025528641239106</v>
      </c>
      <c r="T84" s="326">
        <v>9.8621240662242787E-2</v>
      </c>
      <c r="U84" s="326">
        <v>0.10465213934378741</v>
      </c>
      <c r="V84" s="326">
        <v>8.9211007685272112E-2</v>
      </c>
      <c r="W84" s="326">
        <v>0.56718544839357188</v>
      </c>
      <c r="X84" s="326">
        <v>0.18517485557499455</v>
      </c>
      <c r="Y84" s="326">
        <v>2.6673210898300725E-3</v>
      </c>
      <c r="Z84" s="326">
        <v>2.6673210898300326E-3</v>
      </c>
    </row>
    <row r="85" spans="1:26">
      <c r="A85" t="s">
        <v>595</v>
      </c>
      <c r="B85">
        <v>255</v>
      </c>
      <c r="C85" s="326">
        <v>0.12711257425742573</v>
      </c>
      <c r="D85" s="326">
        <v>0.21094247283961723</v>
      </c>
      <c r="E85" s="326">
        <v>0.14823289628166247</v>
      </c>
      <c r="F85" s="326">
        <v>0.14395094834471409</v>
      </c>
      <c r="G85" s="380">
        <v>1.0202561296564998</v>
      </c>
      <c r="H85" s="380">
        <v>1.0875484112149532</v>
      </c>
      <c r="I85" s="326">
        <v>7.9347459289719618E-2</v>
      </c>
      <c r="J85" s="326">
        <v>0.53268281751336732</v>
      </c>
      <c r="K85" s="326">
        <v>3.9099999999999996E-2</v>
      </c>
      <c r="L85" s="326">
        <v>0.12388564130795748</v>
      </c>
      <c r="M85" s="326">
        <v>7.3198834126562917E-2</v>
      </c>
      <c r="N85" s="380">
        <v>0.72921064723986073</v>
      </c>
      <c r="O85" s="380">
        <v>7.2717738016400677</v>
      </c>
      <c r="P85" s="380">
        <v>22.619181009064601</v>
      </c>
      <c r="Q85" s="380">
        <v>35.023661963500743</v>
      </c>
      <c r="R85" s="380">
        <v>6.5980062450468546</v>
      </c>
      <c r="S85" s="380">
        <v>362.13555448213032</v>
      </c>
      <c r="T85" s="326">
        <v>0.12755073845429857</v>
      </c>
      <c r="U85" s="326">
        <v>5.884189144001746E-2</v>
      </c>
      <c r="V85" s="326">
        <v>0.16885953169557708</v>
      </c>
      <c r="W85" s="326">
        <v>1.0913946738068041</v>
      </c>
      <c r="X85" s="326">
        <v>0.17083302894912994</v>
      </c>
      <c r="Y85" s="326">
        <v>0.50282218249497279</v>
      </c>
      <c r="Z85" s="326">
        <v>0.50282218249497279</v>
      </c>
    </row>
    <row r="86" spans="1:26">
      <c r="A86" t="s">
        <v>596</v>
      </c>
      <c r="B86">
        <v>37</v>
      </c>
      <c r="C86" s="326">
        <v>-4.3814761904761905E-2</v>
      </c>
      <c r="D86" s="326">
        <v>7.2897728647231291E-2</v>
      </c>
      <c r="E86" s="326">
        <v>0.15665869807769453</v>
      </c>
      <c r="F86" s="326">
        <v>0.26176339086112849</v>
      </c>
      <c r="G86" s="380">
        <v>1.5326927281923055</v>
      </c>
      <c r="H86" s="380">
        <v>1.8166750967741936</v>
      </c>
      <c r="I86" s="326">
        <v>0.11638709491612903</v>
      </c>
      <c r="J86" s="326">
        <v>0.70399000337334361</v>
      </c>
      <c r="K86" s="326">
        <v>4.6600000000000003E-2</v>
      </c>
      <c r="L86" s="326">
        <v>0.26593454220662688</v>
      </c>
      <c r="M86" s="326">
        <v>9.4854083857638924E-2</v>
      </c>
      <c r="N86" s="380">
        <v>2.3120636033703388</v>
      </c>
      <c r="O86" s="380">
        <v>0.9593604589041278</v>
      </c>
      <c r="P86" s="380">
        <v>8.4353015801086286</v>
      </c>
      <c r="Q86" s="380">
        <v>12.933715887442064</v>
      </c>
      <c r="R86" s="380">
        <v>2.2560876357340933</v>
      </c>
      <c r="S86" s="380">
        <v>32.304755096559276</v>
      </c>
      <c r="T86" s="326">
        <v>0.21047422469210109</v>
      </c>
      <c r="U86" s="326">
        <v>2.8620839133337198E-2</v>
      </c>
      <c r="V86" s="326">
        <v>1.7386373130175891E-2</v>
      </c>
      <c r="W86" s="326">
        <v>0.63720824361439299</v>
      </c>
      <c r="X86" s="326">
        <v>0.1223204599871633</v>
      </c>
      <c r="Y86" s="326">
        <v>0.34260056258279237</v>
      </c>
      <c r="Z86" s="326">
        <v>0.34260056258279237</v>
      </c>
    </row>
    <row r="87" spans="1:26">
      <c r="A87" t="s">
        <v>597</v>
      </c>
      <c r="B87">
        <v>18</v>
      </c>
      <c r="C87" s="326">
        <v>8.1285714285714347E-3</v>
      </c>
      <c r="D87" s="326">
        <v>8.7799170456222195E-2</v>
      </c>
      <c r="E87" s="326">
        <v>5.4344354922842619E-2</v>
      </c>
      <c r="F87" s="326">
        <v>0.4777774217323037</v>
      </c>
      <c r="G87" s="380">
        <v>0.70836900322043828</v>
      </c>
      <c r="H87" s="380">
        <v>1.3017575384615385</v>
      </c>
      <c r="I87" s="326">
        <v>9.0229282953846149E-2</v>
      </c>
      <c r="J87" s="326">
        <v>0.54461508606497722</v>
      </c>
      <c r="K87" s="326">
        <v>3.9099999999999996E-2</v>
      </c>
      <c r="L87" s="326">
        <v>0.54540091499483856</v>
      </c>
      <c r="M87" s="326">
        <v>5.7225283061476888E-2</v>
      </c>
      <c r="N87" s="380">
        <v>0.67236706648130862</v>
      </c>
      <c r="O87" s="380">
        <v>2.1549666426617811</v>
      </c>
      <c r="P87" s="380">
        <v>6.2383354898818473</v>
      </c>
      <c r="Q87" s="380">
        <v>24.557848782255352</v>
      </c>
      <c r="R87" s="380">
        <v>1.792715783234865</v>
      </c>
      <c r="S87" s="380">
        <v>118.32784446126438</v>
      </c>
      <c r="T87" s="326">
        <v>3.0771860054836259E-2</v>
      </c>
      <c r="U87" s="326">
        <v>0.13862954442721501</v>
      </c>
      <c r="V87" s="326">
        <v>-5.1472167218548949E-2</v>
      </c>
      <c r="W87" s="326">
        <v>0.50024574398919419</v>
      </c>
      <c r="X87" s="326">
        <v>1.8681323487285347E-2</v>
      </c>
      <c r="Y87" s="326">
        <v>0.11065889431236905</v>
      </c>
      <c r="Z87" s="326">
        <v>0.11065889431236908</v>
      </c>
    </row>
    <row r="88" spans="1:26">
      <c r="A88" t="s">
        <v>598</v>
      </c>
      <c r="B88">
        <v>104</v>
      </c>
      <c r="C88" s="326">
        <v>4.3613499999999993E-2</v>
      </c>
      <c r="D88" s="326">
        <v>0.18507687261312478</v>
      </c>
      <c r="E88" s="326">
        <v>0.135873101682357</v>
      </c>
      <c r="F88" s="326">
        <v>0.21572201489642304</v>
      </c>
      <c r="G88" s="380">
        <v>0.95898598463913076</v>
      </c>
      <c r="H88" s="380">
        <v>1.0344774468085107</v>
      </c>
      <c r="I88" s="326">
        <v>7.6651454297872346E-2</v>
      </c>
      <c r="J88" s="326">
        <v>0.57867075380931088</v>
      </c>
      <c r="K88" s="326">
        <v>3.9099999999999996E-2</v>
      </c>
      <c r="L88" s="326">
        <v>0.17171008137013472</v>
      </c>
      <c r="M88" s="326">
        <v>6.8592163621240446E-2</v>
      </c>
      <c r="N88" s="380">
        <v>0.79849689349426667</v>
      </c>
      <c r="O88" s="380">
        <v>3.4759261780859712</v>
      </c>
      <c r="P88" s="380">
        <v>13.577112581120407</v>
      </c>
      <c r="Q88" s="380">
        <v>18.11576168642625</v>
      </c>
      <c r="R88" s="380">
        <v>3.219036143742108</v>
      </c>
      <c r="S88" s="380">
        <v>56.525267962443138</v>
      </c>
      <c r="T88" s="326">
        <v>0.17497380523281084</v>
      </c>
      <c r="U88" s="326">
        <v>3.475376293774643E-2</v>
      </c>
      <c r="V88" s="326">
        <v>5.674188622269969E-2</v>
      </c>
      <c r="W88" s="326">
        <v>0.44109818580030735</v>
      </c>
      <c r="X88" s="326">
        <v>0.15310518651179156</v>
      </c>
      <c r="Y88" s="326">
        <v>0.43904155230185921</v>
      </c>
      <c r="Z88" s="326">
        <v>0.43904155230185915</v>
      </c>
    </row>
    <row r="89" spans="1:26">
      <c r="A89" t="s">
        <v>599</v>
      </c>
      <c r="B89">
        <v>66</v>
      </c>
      <c r="C89" s="326">
        <v>6.3216896551724133E-2</v>
      </c>
      <c r="D89" s="326">
        <v>0.17577202773525055</v>
      </c>
      <c r="E89" s="326">
        <v>0.15967967834448035</v>
      </c>
      <c r="F89" s="326">
        <v>0.33199956593678065</v>
      </c>
      <c r="G89" s="380">
        <v>0.71930948488842505</v>
      </c>
      <c r="H89" s="380">
        <v>1.0833453793103449</v>
      </c>
      <c r="I89" s="326">
        <v>7.9133945268965514E-2</v>
      </c>
      <c r="J89" s="326">
        <v>0.52566842279583215</v>
      </c>
      <c r="K89" s="326">
        <v>3.9099999999999996E-2</v>
      </c>
      <c r="L89" s="326">
        <v>0.44299601886340761</v>
      </c>
      <c r="M89" s="326">
        <v>5.7241992254404017E-2</v>
      </c>
      <c r="N89" s="380">
        <v>0.987930043679494</v>
      </c>
      <c r="O89" s="380">
        <v>2.5681120498298906</v>
      </c>
      <c r="P89" s="380">
        <v>7.3228085903937412</v>
      </c>
      <c r="Q89" s="380">
        <v>14.57533134983573</v>
      </c>
      <c r="R89" s="380">
        <v>2.8187382693187213</v>
      </c>
      <c r="S89" s="380">
        <v>45.548508751914518</v>
      </c>
      <c r="T89" s="326">
        <v>-2.8903805883987818E-2</v>
      </c>
      <c r="U89" s="326">
        <v>0.14538426585009057</v>
      </c>
      <c r="V89" s="326">
        <v>2.4407642665317007E-2</v>
      </c>
      <c r="W89" s="326">
        <v>0.38616829315809592</v>
      </c>
      <c r="X89" s="326">
        <v>0.16336905306822519</v>
      </c>
      <c r="Y89" s="326">
        <v>0.84411894628325057</v>
      </c>
      <c r="Z89" s="326">
        <v>0.84411894628325057</v>
      </c>
    </row>
    <row r="90" spans="1:26">
      <c r="A90" t="s">
        <v>600</v>
      </c>
      <c r="B90">
        <v>24</v>
      </c>
      <c r="C90" s="326">
        <v>0.85315000000000007</v>
      </c>
      <c r="D90" s="326">
        <v>0.40617772818132508</v>
      </c>
      <c r="E90" s="326">
        <v>0.95594189954726327</v>
      </c>
      <c r="F90" s="326">
        <v>0.31472643010306428</v>
      </c>
      <c r="G90" s="380">
        <v>1.1518437689270005</v>
      </c>
      <c r="H90" s="380">
        <v>1.2622025263157897</v>
      </c>
      <c r="I90" s="326">
        <v>8.8219888336842106E-2</v>
      </c>
      <c r="J90" s="326">
        <v>0.45158247313451244</v>
      </c>
      <c r="K90" s="326">
        <v>3.9099999999999996E-2</v>
      </c>
      <c r="L90" s="326">
        <v>0.14629448094078756</v>
      </c>
      <c r="M90" s="326">
        <v>7.9661092359585989E-2</v>
      </c>
      <c r="N90" s="380">
        <v>2.4839380457625468</v>
      </c>
      <c r="O90" s="380">
        <v>6.6307058671313639</v>
      </c>
      <c r="P90" s="380">
        <v>15.308547143749378</v>
      </c>
      <c r="Q90" s="380">
        <v>16.286461807180039</v>
      </c>
      <c r="R90" s="380">
        <v>78.254302231284498</v>
      </c>
      <c r="S90" s="380">
        <v>26.305016219326109</v>
      </c>
      <c r="T90" s="326">
        <v>0.18050449057513238</v>
      </c>
      <c r="U90" s="326">
        <v>3.2883308087428655E-2</v>
      </c>
      <c r="V90" s="326">
        <v>-6.4232137309194887E-2</v>
      </c>
      <c r="W90" s="326">
        <v>-0.17293006388779569</v>
      </c>
      <c r="X90" s="326">
        <v>-2.8212147018634419</v>
      </c>
      <c r="Y90" s="326">
        <v>0.50439602521281002</v>
      </c>
      <c r="Z90" s="326">
        <v>0.50439602521281002</v>
      </c>
    </row>
    <row r="91" spans="1:26">
      <c r="A91" t="s">
        <v>601</v>
      </c>
      <c r="B91">
        <v>18</v>
      </c>
      <c r="C91" s="326">
        <v>0.19123846153846152</v>
      </c>
      <c r="D91" s="326">
        <v>7.7165131054810057E-2</v>
      </c>
      <c r="E91" s="326">
        <v>0.17605587954076538</v>
      </c>
      <c r="F91" s="326">
        <v>0.33290845797067664</v>
      </c>
      <c r="G91" s="380">
        <v>0.79664864200617935</v>
      </c>
      <c r="H91" s="380">
        <v>0.94903250000000017</v>
      </c>
      <c r="I91" s="326">
        <v>7.2310851000000009E-2</v>
      </c>
      <c r="J91" s="326">
        <v>0.46364371286295797</v>
      </c>
      <c r="K91" s="326">
        <v>3.9099999999999996E-2</v>
      </c>
      <c r="L91" s="326">
        <v>0.2309103138190548</v>
      </c>
      <c r="M91" s="326">
        <v>6.2475260588514124E-2</v>
      </c>
      <c r="N91" s="380">
        <v>2.9219144916433262</v>
      </c>
      <c r="O91" s="380">
        <v>1.543939881758823</v>
      </c>
      <c r="P91" s="380">
        <v>11.219394807242882</v>
      </c>
      <c r="Q91" s="380">
        <v>20.010903950151302</v>
      </c>
      <c r="R91" s="380">
        <v>7.258752840228226</v>
      </c>
      <c r="S91" s="380">
        <v>31.811538866261515</v>
      </c>
      <c r="T91" s="326">
        <v>8.4642954950653979E-2</v>
      </c>
      <c r="U91" s="326">
        <v>6.6693555550004294E-2</v>
      </c>
      <c r="V91" s="326">
        <v>3.4627212521407005E-2</v>
      </c>
      <c r="W91" s="326">
        <v>0.92444941731215757</v>
      </c>
      <c r="X91" s="326">
        <v>0.28970777933346092</v>
      </c>
      <c r="Y91" s="326">
        <v>0.47338766894795675</v>
      </c>
      <c r="Z91" s="326">
        <v>0.47338766894795681</v>
      </c>
    </row>
    <row r="92" spans="1:26">
      <c r="A92" t="s">
        <v>602</v>
      </c>
      <c r="B92">
        <v>8</v>
      </c>
      <c r="C92" s="326">
        <v>4.2552000000000006E-2</v>
      </c>
      <c r="D92" s="326">
        <v>0.34326886764218212</v>
      </c>
      <c r="E92" s="326">
        <v>0.13553339796025746</v>
      </c>
      <c r="F92" s="326">
        <v>0.37525450384037518</v>
      </c>
      <c r="G92" s="380">
        <v>0.86883727686550138</v>
      </c>
      <c r="H92" s="380">
        <v>1.0054434285714287</v>
      </c>
      <c r="I92" s="326">
        <v>7.5176526171428573E-2</v>
      </c>
      <c r="J92" s="326">
        <v>0.29770670385325121</v>
      </c>
      <c r="K92" s="326">
        <v>3.61E-2</v>
      </c>
      <c r="L92" s="326">
        <v>0.1847593461440783</v>
      </c>
      <c r="M92" s="326">
        <v>6.635601777142118E-2</v>
      </c>
      <c r="N92" s="380">
        <v>0.51829305876343135</v>
      </c>
      <c r="O92" s="380">
        <v>5.3957965101792214</v>
      </c>
      <c r="P92" s="380">
        <v>11.559032609932196</v>
      </c>
      <c r="Q92" s="380">
        <v>15.716560424147559</v>
      </c>
      <c r="R92" s="380">
        <v>4.1889344564212294</v>
      </c>
      <c r="S92" s="380">
        <v>26.097114934186607</v>
      </c>
      <c r="T92" s="326">
        <v>2.8268547375414704E-2</v>
      </c>
      <c r="U92" s="326">
        <v>0.17453575452561373</v>
      </c>
      <c r="V92" s="326">
        <v>9.151118126428362E-2</v>
      </c>
      <c r="W92" s="326">
        <v>0.42800680116893419</v>
      </c>
      <c r="X92" s="326">
        <v>0.17405031187881279</v>
      </c>
      <c r="Y92" s="326">
        <v>0.38151198286988025</v>
      </c>
      <c r="Z92" s="326">
        <v>0.38151198286988031</v>
      </c>
    </row>
    <row r="93" spans="1:26">
      <c r="A93" t="s">
        <v>603</v>
      </c>
      <c r="B93">
        <v>30</v>
      </c>
      <c r="C93" s="326">
        <v>3.4800499999999991E-2</v>
      </c>
      <c r="D93" s="326">
        <v>7.6560032776518197E-2</v>
      </c>
      <c r="E93" s="326">
        <v>7.0697261683897297E-2</v>
      </c>
      <c r="F93" s="326">
        <v>0.35955171845405992</v>
      </c>
      <c r="G93" s="380">
        <v>0.80694623223928075</v>
      </c>
      <c r="H93" s="380">
        <v>1.19801632</v>
      </c>
      <c r="I93" s="326">
        <v>8.4959229055999994E-2</v>
      </c>
      <c r="J93" s="326">
        <v>0.54247188914489886</v>
      </c>
      <c r="K93" s="326">
        <v>3.9099999999999996E-2</v>
      </c>
      <c r="L93" s="326">
        <v>0.41106102596736205</v>
      </c>
      <c r="M93" s="326">
        <v>6.2250890642490647E-2</v>
      </c>
      <c r="N93" s="380">
        <v>1.1621564310698609</v>
      </c>
      <c r="O93" s="380">
        <v>1.7881421287575399</v>
      </c>
      <c r="P93" s="380">
        <v>11.456022208117428</v>
      </c>
      <c r="Q93" s="380">
        <v>23.307439989418139</v>
      </c>
      <c r="R93" s="380">
        <v>3.3285315911470796</v>
      </c>
      <c r="S93" s="380">
        <v>41.455096012423802</v>
      </c>
      <c r="T93" s="326">
        <v>7.640446243245122E-2</v>
      </c>
      <c r="U93" s="326">
        <v>0.17353507401002616</v>
      </c>
      <c r="V93" s="326">
        <v>0.11165133337424715</v>
      </c>
      <c r="W93" s="326">
        <v>2.3101795642027376</v>
      </c>
      <c r="X93" s="326">
        <v>7.8726185129946905E-2</v>
      </c>
      <c r="Y93" s="326">
        <v>0.27458820393411248</v>
      </c>
      <c r="Z93" s="326">
        <v>0.27458820393411254</v>
      </c>
    </row>
    <row r="94" spans="1:26">
      <c r="A94" t="s">
        <v>604</v>
      </c>
      <c r="B94">
        <v>18</v>
      </c>
      <c r="C94" s="326">
        <v>2.4564444444444441E-2</v>
      </c>
      <c r="D94" s="326">
        <v>0.19389411932708719</v>
      </c>
      <c r="E94" s="326">
        <v>6.2131011151535291E-2</v>
      </c>
      <c r="F94" s="326">
        <v>0.31121021465581056</v>
      </c>
      <c r="G94" s="380">
        <v>0.19528826349103087</v>
      </c>
      <c r="H94" s="380">
        <v>0.29336711111111113</v>
      </c>
      <c r="I94" s="326">
        <v>3.9003049244444449E-2</v>
      </c>
      <c r="J94" s="326">
        <v>0.20666930846389703</v>
      </c>
      <c r="K94" s="326">
        <v>3.1099999999999999E-2</v>
      </c>
      <c r="L94" s="326">
        <v>0.40205140769689468</v>
      </c>
      <c r="M94" s="326">
        <v>3.2824705463568055E-2</v>
      </c>
      <c r="N94" s="380">
        <v>0.46365184987230396</v>
      </c>
      <c r="O94" s="380">
        <v>3.7286908267407646</v>
      </c>
      <c r="P94" s="380">
        <v>11.812815639626667</v>
      </c>
      <c r="Q94" s="380">
        <v>19.230894665901484</v>
      </c>
      <c r="R94" s="380">
        <v>2.1521551036947484</v>
      </c>
      <c r="S94" s="380">
        <v>23.99863472225833</v>
      </c>
      <c r="T94" s="326">
        <v>5.0917592415536117E-2</v>
      </c>
      <c r="U94" s="326">
        <v>0.29375693824947147</v>
      </c>
      <c r="V94" s="326">
        <v>0.19762730254704591</v>
      </c>
      <c r="W94" s="326">
        <v>1.4906765326521059</v>
      </c>
      <c r="X94" s="326">
        <v>9.9472037224372367E-2</v>
      </c>
      <c r="Y94" s="326">
        <v>0.76333585904692325</v>
      </c>
      <c r="Z94" s="326">
        <v>0.76333585904692325</v>
      </c>
    </row>
    <row r="95" spans="1:26">
      <c r="A95" t="s">
        <v>605</v>
      </c>
      <c r="B95">
        <v>23</v>
      </c>
      <c r="C95" s="326">
        <v>3.7748666666666673E-2</v>
      </c>
      <c r="D95" s="326">
        <v>0.28274574040705813</v>
      </c>
      <c r="E95" s="326">
        <v>8.8563272742391258E-2</v>
      </c>
      <c r="F95" s="326">
        <v>0.32858538858292946</v>
      </c>
      <c r="G95" s="380">
        <v>0.26742845919334141</v>
      </c>
      <c r="H95" s="380">
        <v>0.34238400000000002</v>
      </c>
      <c r="I95" s="326">
        <v>4.1493107200000004E-2</v>
      </c>
      <c r="J95" s="326">
        <v>0.34496000487072065</v>
      </c>
      <c r="K95" s="326">
        <v>3.61E-2</v>
      </c>
      <c r="L95" s="326">
        <v>0.27609368251648864</v>
      </c>
      <c r="M95" s="326">
        <v>3.7612028707622959E-2</v>
      </c>
      <c r="N95" s="380">
        <v>0.36896911796314175</v>
      </c>
      <c r="O95" s="380">
        <v>6.4756686149224842</v>
      </c>
      <c r="P95" s="380">
        <v>15.212628773192339</v>
      </c>
      <c r="Q95" s="380">
        <v>22.56348244188294</v>
      </c>
      <c r="R95" s="380">
        <v>3.3258604881039862</v>
      </c>
      <c r="S95" s="380">
        <v>137.5822128048874</v>
      </c>
      <c r="T95" s="326">
        <v>9.8886703123359079E-2</v>
      </c>
      <c r="U95" s="326">
        <v>0.3465006609625042</v>
      </c>
      <c r="V95" s="326">
        <v>0.26068325983892215</v>
      </c>
      <c r="W95" s="326">
        <v>1.5721436341318689</v>
      </c>
      <c r="X95" s="326">
        <v>0.13627859626925026</v>
      </c>
      <c r="Y95" s="326">
        <v>0.58233539184861338</v>
      </c>
      <c r="Z95" s="326">
        <v>0.42942630525144754</v>
      </c>
    </row>
  </sheetData>
  <phoneticPr fontId="4"/>
  <pageMargins left="0.75" right="0.75" top="1" bottom="1" header="0.5" footer="0.5"/>
  <pageSetup orientation="portrait" horizontalDpi="4294967292" verticalDpi="4294967292"/>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95"/>
  <sheetViews>
    <sheetView topLeftCell="A2" workbookViewId="0">
      <selection activeCell="T95" sqref="A1:IV95"/>
    </sheetView>
  </sheetViews>
  <sheetFormatPr baseColWidth="10" defaultColWidth="11.5" defaultRowHeight="12"/>
  <cols>
    <col min="1" max="1" width="27" style="321" customWidth="1"/>
    <col min="2" max="3" width="10.83203125" style="180"/>
    <col min="4" max="4" width="15.5" style="180" customWidth="1"/>
    <col min="5" max="23" width="10.83203125" style="180"/>
  </cols>
  <sheetData>
    <row r="1" spans="1:26" s="241" customFormat="1" ht="65">
      <c r="A1" s="385" t="s">
        <v>98</v>
      </c>
      <c r="B1" s="241" t="s">
        <v>175</v>
      </c>
      <c r="C1" s="242" t="s">
        <v>163</v>
      </c>
      <c r="D1" s="241" t="s">
        <v>760</v>
      </c>
      <c r="E1" s="242" t="s">
        <v>182</v>
      </c>
      <c r="F1" s="241" t="s">
        <v>164</v>
      </c>
      <c r="G1" s="241" t="s">
        <v>212</v>
      </c>
      <c r="H1" s="241" t="s">
        <v>165</v>
      </c>
      <c r="I1" s="241" t="s">
        <v>166</v>
      </c>
      <c r="J1" s="241" t="s">
        <v>167</v>
      </c>
      <c r="K1" s="241" t="s">
        <v>168</v>
      </c>
      <c r="L1" s="241" t="s">
        <v>169</v>
      </c>
      <c r="M1" s="241" t="s">
        <v>148</v>
      </c>
      <c r="N1" s="243" t="s">
        <v>101</v>
      </c>
      <c r="O1" s="241" t="s">
        <v>170</v>
      </c>
      <c r="P1" s="241" t="s">
        <v>171</v>
      </c>
      <c r="Q1" s="241" t="s">
        <v>172</v>
      </c>
      <c r="R1" s="241" t="s">
        <v>173</v>
      </c>
      <c r="S1" s="241" t="s">
        <v>174</v>
      </c>
      <c r="T1" s="241" t="s">
        <v>500</v>
      </c>
      <c r="U1" s="241" t="s">
        <v>501</v>
      </c>
      <c r="V1" s="241" t="s">
        <v>502</v>
      </c>
      <c r="W1" s="241" t="s">
        <v>503</v>
      </c>
      <c r="X1" s="385" t="s">
        <v>486</v>
      </c>
      <c r="Y1" s="385" t="s">
        <v>504</v>
      </c>
      <c r="Z1" s="385" t="s">
        <v>505</v>
      </c>
    </row>
    <row r="2" spans="1:26" s="322" customFormat="1" ht="13">
      <c r="A2" s="386" t="s">
        <v>99</v>
      </c>
      <c r="B2" s="387">
        <v>258</v>
      </c>
      <c r="C2" s="388">
        <v>6.8148E-2</v>
      </c>
      <c r="D2" s="388">
        <v>0.10552837760257837</v>
      </c>
      <c r="E2" s="388">
        <v>0.35906419464148864</v>
      </c>
      <c r="F2" s="388">
        <v>0.26619805477979724</v>
      </c>
      <c r="G2" s="389">
        <v>0.96915594002698968</v>
      </c>
      <c r="H2" s="389">
        <v>1.1509710049999999</v>
      </c>
      <c r="I2" s="388">
        <v>9.5460202309999992E-2</v>
      </c>
      <c r="J2" s="388">
        <v>0.45740445899999999</v>
      </c>
      <c r="K2" s="388">
        <v>4.9099999999999998E-2</v>
      </c>
      <c r="L2" s="388">
        <v>0.27889407194182358</v>
      </c>
      <c r="M2" s="388">
        <v>7.9157858664681155E-2</v>
      </c>
      <c r="N2" s="389">
        <v>4.1563609377904571</v>
      </c>
      <c r="O2" s="389">
        <v>1.5682618281010521</v>
      </c>
      <c r="P2" s="389">
        <v>9.4816698733105635</v>
      </c>
      <c r="Q2" s="389">
        <v>14.688738383519308</v>
      </c>
      <c r="R2" s="389">
        <v>2.4907996558953571</v>
      </c>
      <c r="S2" s="389">
        <v>57.778506739999997</v>
      </c>
      <c r="T2" s="388">
        <v>-3.557683706475142E-2</v>
      </c>
      <c r="U2" s="388">
        <v>1.9845363055083325E-2</v>
      </c>
      <c r="V2" s="388">
        <v>1.713614298184506E-2</v>
      </c>
      <c r="W2" s="388">
        <v>0.34977639886727874</v>
      </c>
      <c r="X2" s="388">
        <v>0.1261837294967286</v>
      </c>
      <c r="Y2" s="388">
        <v>0.54535802163227931</v>
      </c>
      <c r="Z2" s="388">
        <v>0.54535802163227931</v>
      </c>
    </row>
    <row r="3" spans="1:26" s="322" customFormat="1" ht="13">
      <c r="A3" s="386" t="s">
        <v>514</v>
      </c>
      <c r="B3" s="387">
        <v>229</v>
      </c>
      <c r="C3" s="388">
        <v>7.9251103449999999E-2</v>
      </c>
      <c r="D3" s="388">
        <v>8.7505455164522974E-2</v>
      </c>
      <c r="E3" s="388">
        <v>0.20436455043296076</v>
      </c>
      <c r="F3" s="388">
        <v>0.27412094072330045</v>
      </c>
      <c r="G3" s="389">
        <v>1.0545917156239073</v>
      </c>
      <c r="H3" s="389">
        <v>1.141562642</v>
      </c>
      <c r="I3" s="388">
        <v>9.4876883804000001E-2</v>
      </c>
      <c r="J3" s="388">
        <v>0.422912171</v>
      </c>
      <c r="K3" s="388">
        <v>4.9099999999999998E-2</v>
      </c>
      <c r="L3" s="388">
        <v>0.17238241280029848</v>
      </c>
      <c r="M3" s="388">
        <v>8.4901076719197333E-2</v>
      </c>
      <c r="N3" s="389">
        <v>2.6610777514821247</v>
      </c>
      <c r="O3" s="389">
        <v>1.8130889049466488</v>
      </c>
      <c r="P3" s="389">
        <v>14.505505591541914</v>
      </c>
      <c r="Q3" s="389">
        <v>20.224597045757047</v>
      </c>
      <c r="R3" s="389">
        <v>5.0083108996783325</v>
      </c>
      <c r="S3" s="389">
        <v>44.548130010000001</v>
      </c>
      <c r="T3" s="388">
        <v>0.25729665068213187</v>
      </c>
      <c r="U3" s="388">
        <v>3.3346548347550402E-2</v>
      </c>
      <c r="V3" s="388">
        <v>1.7268882870158455E-2</v>
      </c>
      <c r="W3" s="388">
        <v>0.60034034152322768</v>
      </c>
      <c r="X3" s="388">
        <v>0.21952562090567143</v>
      </c>
      <c r="Y3" s="388">
        <v>0.42284943694925337</v>
      </c>
      <c r="Z3" s="388">
        <v>0.42284943694925337</v>
      </c>
    </row>
    <row r="4" spans="1:26" s="322" customFormat="1" ht="13">
      <c r="A4" s="386" t="s">
        <v>515</v>
      </c>
      <c r="B4" s="387">
        <v>155</v>
      </c>
      <c r="C4" s="388">
        <v>6.8464444440000008E-2</v>
      </c>
      <c r="D4" s="388">
        <v>9.9095238845250538E-2</v>
      </c>
      <c r="E4" s="388">
        <v>8.8686709124562044E-2</v>
      </c>
      <c r="F4" s="388">
        <v>0.26080343583667248</v>
      </c>
      <c r="G4" s="389">
        <v>0.63607802599584939</v>
      </c>
      <c r="H4" s="389">
        <v>0.92515755700000002</v>
      </c>
      <c r="I4" s="388">
        <v>8.1459768533999999E-2</v>
      </c>
      <c r="J4" s="388">
        <v>0.32685984200000001</v>
      </c>
      <c r="K4" s="388">
        <v>4.6100000000000002E-2</v>
      </c>
      <c r="L4" s="388">
        <v>0.42266588005917249</v>
      </c>
      <c r="M4" s="388">
        <v>6.1715270699367983E-2</v>
      </c>
      <c r="N4" s="389">
        <v>1.0759329951265659</v>
      </c>
      <c r="O4" s="389">
        <v>1.6897989139283043</v>
      </c>
      <c r="P4" s="389">
        <v>7.557861377332534</v>
      </c>
      <c r="Q4" s="389">
        <v>16.947626259860851</v>
      </c>
      <c r="R4" s="389">
        <v>2.4336982916258356</v>
      </c>
      <c r="S4" s="389">
        <v>37.307295699999997</v>
      </c>
      <c r="T4" s="388">
        <v>-2.6815976932333212E-2</v>
      </c>
      <c r="U4" s="388">
        <v>0.12261379563721082</v>
      </c>
      <c r="V4" s="388">
        <v>6.6255141299738113E-2</v>
      </c>
      <c r="W4" s="388">
        <v>0.92538841702428043</v>
      </c>
      <c r="X4" s="388">
        <v>0.17245441620115659</v>
      </c>
      <c r="Y4" s="388">
        <v>0.32465799233381115</v>
      </c>
      <c r="Z4" s="388">
        <v>0.3246579923338111</v>
      </c>
    </row>
    <row r="5" spans="1:26" s="322" customFormat="1" ht="13">
      <c r="A5" s="386" t="s">
        <v>516</v>
      </c>
      <c r="B5" s="387">
        <v>1160</v>
      </c>
      <c r="C5" s="388">
        <v>2.6880476190000002E-2</v>
      </c>
      <c r="D5" s="388">
        <v>0.11078461799866011</v>
      </c>
      <c r="E5" s="388">
        <v>0.14032784805856996</v>
      </c>
      <c r="F5" s="388">
        <v>0.25854320499949507</v>
      </c>
      <c r="G5" s="389">
        <v>0.82598880439763567</v>
      </c>
      <c r="H5" s="389">
        <v>0.90026868699999996</v>
      </c>
      <c r="I5" s="388">
        <v>7.9916658594000003E-2</v>
      </c>
      <c r="J5" s="388">
        <v>0.37064485400000002</v>
      </c>
      <c r="K5" s="388">
        <v>4.6100000000000002E-2</v>
      </c>
      <c r="L5" s="388">
        <v>0.17942384281114915</v>
      </c>
      <c r="M5" s="388">
        <v>7.1811888294501663E-2</v>
      </c>
      <c r="N5" s="389">
        <v>1.5126181244924526</v>
      </c>
      <c r="O5" s="389">
        <v>2.0436682539122222</v>
      </c>
      <c r="P5" s="389">
        <v>12.023683078304824</v>
      </c>
      <c r="Q5" s="389">
        <v>18.101187233318218</v>
      </c>
      <c r="R5" s="389">
        <v>2.9918805295072177</v>
      </c>
      <c r="S5" s="389">
        <v>66.702895670000004</v>
      </c>
      <c r="T5" s="388">
        <v>0.22982014685801136</v>
      </c>
      <c r="U5" s="388">
        <v>3.9739600466329232E-2</v>
      </c>
      <c r="V5" s="388">
        <v>2.5381090254663913E-2</v>
      </c>
      <c r="W5" s="388">
        <v>0.39704121019855093</v>
      </c>
      <c r="X5" s="388">
        <v>0.11549742983561509</v>
      </c>
      <c r="Y5" s="388">
        <v>0.5025235175775763</v>
      </c>
      <c r="Z5" s="388">
        <v>0.5025235175775763</v>
      </c>
    </row>
    <row r="6" spans="1:26" s="322" customFormat="1" ht="13">
      <c r="A6" s="386" t="s">
        <v>517</v>
      </c>
      <c r="B6" s="387">
        <v>133</v>
      </c>
      <c r="C6" s="388">
        <v>5.8233333329999998E-2</v>
      </c>
      <c r="D6" s="388">
        <v>6.2915599390357291E-2</v>
      </c>
      <c r="E6" s="388">
        <v>6.5108421266052471E-2</v>
      </c>
      <c r="F6" s="388">
        <v>0.25483445565882668</v>
      </c>
      <c r="G6" s="389">
        <v>1.0306651327306393</v>
      </c>
      <c r="H6" s="389">
        <v>1.4985614789999999</v>
      </c>
      <c r="I6" s="388">
        <v>0.117010811698</v>
      </c>
      <c r="J6" s="388">
        <v>0.30813856099999998</v>
      </c>
      <c r="K6" s="388">
        <v>4.6100000000000002E-2</v>
      </c>
      <c r="L6" s="388">
        <v>0.45842651403706813</v>
      </c>
      <c r="M6" s="388">
        <v>7.9298243719968992E-2</v>
      </c>
      <c r="N6" s="389">
        <v>1.2036233488483676</v>
      </c>
      <c r="O6" s="389">
        <v>0.98324607632889405</v>
      </c>
      <c r="P6" s="389">
        <v>9.367633349525855</v>
      </c>
      <c r="Q6" s="389">
        <v>16.161513576274103</v>
      </c>
      <c r="R6" s="389">
        <v>1.3858432104363634</v>
      </c>
      <c r="S6" s="389">
        <v>133.2644732</v>
      </c>
      <c r="T6" s="388">
        <v>1.7401923788539404E-2</v>
      </c>
      <c r="U6" s="388">
        <v>6.9970775450395081E-2</v>
      </c>
      <c r="V6" s="388">
        <v>3.9734797120200456E-2</v>
      </c>
      <c r="W6" s="388">
        <v>0.99951265326835825</v>
      </c>
      <c r="X6" s="388">
        <v>0.12548053708345455</v>
      </c>
      <c r="Y6" s="388">
        <v>0.33928518616942788</v>
      </c>
      <c r="Z6" s="388">
        <v>0.33928518616942793</v>
      </c>
    </row>
    <row r="7" spans="1:26" s="322" customFormat="1" ht="13">
      <c r="A7" s="386" t="s">
        <v>518</v>
      </c>
      <c r="B7" s="387">
        <v>687</v>
      </c>
      <c r="C7" s="388">
        <v>6.0309302330000002E-2</v>
      </c>
      <c r="D7" s="388">
        <v>7.8528883103256564E-2</v>
      </c>
      <c r="E7" s="388">
        <v>0.12286933835942018</v>
      </c>
      <c r="F7" s="388">
        <v>0.23515819851638178</v>
      </c>
      <c r="G7" s="389">
        <v>1.1992463182077924</v>
      </c>
      <c r="H7" s="389">
        <v>1.262370204</v>
      </c>
      <c r="I7" s="388">
        <v>0.102366952648</v>
      </c>
      <c r="J7" s="388">
        <v>0.34653858999999998</v>
      </c>
      <c r="K7" s="388">
        <v>4.6100000000000002E-2</v>
      </c>
      <c r="L7" s="388">
        <v>0.1778820470293794</v>
      </c>
      <c r="M7" s="388">
        <v>9.0338322679616806E-2</v>
      </c>
      <c r="N7" s="389">
        <v>1.8992771884557487</v>
      </c>
      <c r="O7" s="389">
        <v>0.99948296979798723</v>
      </c>
      <c r="P7" s="389">
        <v>8.29082288279767</v>
      </c>
      <c r="Q7" s="389">
        <v>13.055190050032786</v>
      </c>
      <c r="R7" s="389">
        <v>1.94365362943947</v>
      </c>
      <c r="S7" s="389">
        <v>33.368550589999998</v>
      </c>
      <c r="T7" s="388">
        <v>0.11244746741526795</v>
      </c>
      <c r="U7" s="388">
        <v>5.7561203467009915E-2</v>
      </c>
      <c r="V7" s="388">
        <v>5.0249840672065268E-2</v>
      </c>
      <c r="W7" s="388">
        <v>1.0459828760717571</v>
      </c>
      <c r="X7" s="388">
        <v>0.13700720634530072</v>
      </c>
      <c r="Y7" s="388">
        <v>0.24861721677143728</v>
      </c>
      <c r="Z7" s="388">
        <v>0.24861721677143733</v>
      </c>
    </row>
    <row r="8" spans="1:26" s="322" customFormat="1" ht="13">
      <c r="A8" s="386" t="s">
        <v>519</v>
      </c>
      <c r="B8" s="387">
        <v>615</v>
      </c>
      <c r="C8" s="388">
        <v>8.6579773580000005E-2</v>
      </c>
      <c r="D8" s="388">
        <v>9.8588969053493738E-4</v>
      </c>
      <c r="E8" s="388">
        <v>9.5295721968446752E-5</v>
      </c>
      <c r="F8" s="388">
        <v>0.22488695060541919</v>
      </c>
      <c r="G8" s="389">
        <v>0.49500311089827004</v>
      </c>
      <c r="H8" s="389">
        <v>1.0048783400000001</v>
      </c>
      <c r="I8" s="388">
        <v>8.6402457080000009E-2</v>
      </c>
      <c r="J8" s="388">
        <v>0.24497458899999999</v>
      </c>
      <c r="K8" s="388">
        <v>4.1099999999999998E-2</v>
      </c>
      <c r="L8" s="388">
        <v>0.69733495504048815</v>
      </c>
      <c r="M8" s="388">
        <v>4.7752397272466551E-2</v>
      </c>
      <c r="N8" s="389">
        <v>0.12160459057907867</v>
      </c>
      <c r="O8" s="389">
        <v>8.5103549994996488</v>
      </c>
      <c r="P8" s="389" t="s">
        <v>100</v>
      </c>
      <c r="Q8" s="389" t="s">
        <v>100</v>
      </c>
      <c r="R8" s="389">
        <v>1.0790236869037251</v>
      </c>
      <c r="S8" s="389">
        <v>19.8827885</v>
      </c>
      <c r="T8" s="388" t="s">
        <v>100</v>
      </c>
      <c r="U8" s="388">
        <v>4.1336505193850265E-2</v>
      </c>
      <c r="V8" s="388">
        <v>2.6838012271261126E-2</v>
      </c>
      <c r="W8" s="388">
        <v>34.53143708373684</v>
      </c>
      <c r="X8" s="388">
        <v>0.10261046732431589</v>
      </c>
      <c r="Y8" s="388">
        <v>0.35788114739654853</v>
      </c>
      <c r="Z8" s="388">
        <v>0.35788114739654853</v>
      </c>
    </row>
    <row r="9" spans="1:26" s="322" customFormat="1" ht="13">
      <c r="A9" s="386" t="s">
        <v>520</v>
      </c>
      <c r="B9" s="387">
        <v>853</v>
      </c>
      <c r="C9" s="388">
        <v>7.8558700479999993E-2</v>
      </c>
      <c r="D9" s="388">
        <v>-8.1818644317020143E-4</v>
      </c>
      <c r="E9" s="388">
        <v>-1.4827374359852152E-4</v>
      </c>
      <c r="F9" s="388">
        <v>0.26440562407048979</v>
      </c>
      <c r="G9" s="389">
        <v>0.45192000654404124</v>
      </c>
      <c r="H9" s="389">
        <v>0.61694931399999997</v>
      </c>
      <c r="I9" s="388">
        <v>6.2350857467999996E-2</v>
      </c>
      <c r="J9" s="388">
        <v>0.30943093399999999</v>
      </c>
      <c r="K9" s="388">
        <v>4.6100000000000002E-2</v>
      </c>
      <c r="L9" s="388">
        <v>0.56315274270319793</v>
      </c>
      <c r="M9" s="388">
        <v>4.6804864117285586E-2</v>
      </c>
      <c r="N9" s="389">
        <v>0.24072099026625518</v>
      </c>
      <c r="O9" s="389">
        <v>5.7534905060464281</v>
      </c>
      <c r="P9" s="389" t="s">
        <v>100</v>
      </c>
      <c r="Q9" s="389" t="s">
        <v>100</v>
      </c>
      <c r="R9" s="389">
        <v>1.1230875991802549</v>
      </c>
      <c r="S9" s="389">
        <v>22.778536819999999</v>
      </c>
      <c r="T9" s="388" t="s">
        <v>100</v>
      </c>
      <c r="U9" s="388">
        <v>4.2096418833782907E-2</v>
      </c>
      <c r="V9" s="388">
        <v>4.7108339700550339E-2</v>
      </c>
      <c r="W9" s="388" t="s">
        <v>100</v>
      </c>
      <c r="X9" s="388">
        <v>8.4628801243976537E-2</v>
      </c>
      <c r="Y9" s="388">
        <v>0.3128944159791674</v>
      </c>
      <c r="Z9" s="388">
        <v>0.31289441597916734</v>
      </c>
    </row>
    <row r="10" spans="1:26" s="322" customFormat="1" ht="13">
      <c r="A10" s="386" t="s">
        <v>521</v>
      </c>
      <c r="B10" s="387">
        <v>222</v>
      </c>
      <c r="C10" s="388">
        <v>3.1269687500000004E-2</v>
      </c>
      <c r="D10" s="388">
        <v>0.20922246070903439</v>
      </c>
      <c r="E10" s="388">
        <v>0.14188637707425364</v>
      </c>
      <c r="F10" s="388">
        <v>0.26752737307599284</v>
      </c>
      <c r="G10" s="389">
        <v>0.6689116678500171</v>
      </c>
      <c r="H10" s="389">
        <v>0.75730182099999999</v>
      </c>
      <c r="I10" s="388">
        <v>7.1052712901999993E-2</v>
      </c>
      <c r="J10" s="388">
        <v>0.296474244</v>
      </c>
      <c r="K10" s="388">
        <v>4.6100000000000002E-2</v>
      </c>
      <c r="L10" s="388">
        <v>0.18628751380983888</v>
      </c>
      <c r="M10" s="388">
        <v>6.4289145517247875E-2</v>
      </c>
      <c r="N10" s="389">
        <v>0.83630455344769117</v>
      </c>
      <c r="O10" s="389">
        <v>4.400157152587294</v>
      </c>
      <c r="P10" s="389">
        <v>16.532287387773604</v>
      </c>
      <c r="Q10" s="389">
        <v>20.908779661285738</v>
      </c>
      <c r="R10" s="389">
        <v>3.7049393081488997</v>
      </c>
      <c r="S10" s="389">
        <v>45.659755850000003</v>
      </c>
      <c r="T10" s="388">
        <v>9.2418439299840227E-2</v>
      </c>
      <c r="U10" s="388">
        <v>4.1958045602431625E-2</v>
      </c>
      <c r="V10" s="388">
        <v>5.1513517870496267E-2</v>
      </c>
      <c r="W10" s="388">
        <v>0.26083489825510875</v>
      </c>
      <c r="X10" s="388">
        <v>0.17141244038469555</v>
      </c>
      <c r="Y10" s="388">
        <v>0.6258556809582505</v>
      </c>
      <c r="Z10" s="388">
        <v>0.6258556809582505</v>
      </c>
    </row>
    <row r="11" spans="1:26" s="322" customFormat="1" ht="13">
      <c r="A11" s="386" t="s">
        <v>522</v>
      </c>
      <c r="B11" s="387">
        <v>101</v>
      </c>
      <c r="C11" s="388">
        <v>4.6103833329999996E-2</v>
      </c>
      <c r="D11" s="388">
        <v>0.15391970693356638</v>
      </c>
      <c r="E11" s="388">
        <v>0.20381569588166062</v>
      </c>
      <c r="F11" s="388">
        <v>0.27053135595948108</v>
      </c>
      <c r="G11" s="389">
        <v>0.57134633909408417</v>
      </c>
      <c r="H11" s="389">
        <v>0.64022674099999999</v>
      </c>
      <c r="I11" s="388">
        <v>6.3794057941999993E-2</v>
      </c>
      <c r="J11" s="388">
        <v>0.32789652000000002</v>
      </c>
      <c r="K11" s="388">
        <v>4.6100000000000002E-2</v>
      </c>
      <c r="L11" s="388">
        <v>0.19027698294845255</v>
      </c>
      <c r="M11" s="388">
        <v>5.8266799297181732E-2</v>
      </c>
      <c r="N11" s="389">
        <v>1.5345338884919413</v>
      </c>
      <c r="O11" s="389">
        <v>3.1865530719775417</v>
      </c>
      <c r="P11" s="389">
        <v>16.076227337261752</v>
      </c>
      <c r="Q11" s="389">
        <v>20.699190197089994</v>
      </c>
      <c r="R11" s="389">
        <v>6.2319731128019464</v>
      </c>
      <c r="S11" s="389">
        <v>176.0476578</v>
      </c>
      <c r="T11" s="388">
        <v>-1.0067558936534571E-2</v>
      </c>
      <c r="U11" s="388">
        <v>4.5547609471470359E-2</v>
      </c>
      <c r="V11" s="388">
        <v>3.5518752639792525E-2</v>
      </c>
      <c r="W11" s="388">
        <v>0.37386917100456907</v>
      </c>
      <c r="X11" s="388">
        <v>0.21874079953829373</v>
      </c>
      <c r="Y11" s="388">
        <v>0.76568454166084376</v>
      </c>
      <c r="Z11" s="388">
        <v>0.76568454166084376</v>
      </c>
    </row>
    <row r="12" spans="1:26" s="322" customFormat="1" ht="13">
      <c r="A12" s="386" t="s">
        <v>523</v>
      </c>
      <c r="B12" s="387">
        <v>139</v>
      </c>
      <c r="C12" s="388">
        <v>6.4979017860000002E-2</v>
      </c>
      <c r="D12" s="388">
        <v>0.1702917177277701</v>
      </c>
      <c r="E12" s="388">
        <v>0.15449698637062109</v>
      </c>
      <c r="F12" s="388">
        <v>0.27312550348207759</v>
      </c>
      <c r="G12" s="389">
        <v>0.80268730240394781</v>
      </c>
      <c r="H12" s="389">
        <v>1.0667256430000001</v>
      </c>
      <c r="I12" s="388">
        <v>9.0236989865999997E-2</v>
      </c>
      <c r="J12" s="388">
        <v>0.37892169599999997</v>
      </c>
      <c r="K12" s="388">
        <v>4.6100000000000002E-2</v>
      </c>
      <c r="L12" s="388">
        <v>0.36183490895348364</v>
      </c>
      <c r="M12" s="388">
        <v>7.0158257011086356E-2</v>
      </c>
      <c r="N12" s="389">
        <v>1.1063599012837306</v>
      </c>
      <c r="O12" s="389">
        <v>2.3594864128628674</v>
      </c>
      <c r="P12" s="389">
        <v>10.040724406754636</v>
      </c>
      <c r="Q12" s="389">
        <v>13.816237959884939</v>
      </c>
      <c r="R12" s="389">
        <v>2.6380226083737721</v>
      </c>
      <c r="S12" s="389">
        <v>95.780300879999999</v>
      </c>
      <c r="T12" s="388">
        <v>0.16043388524499441</v>
      </c>
      <c r="U12" s="388">
        <v>3.8794605031121442E-2</v>
      </c>
      <c r="V12" s="388">
        <v>3.0778932436876086E-2</v>
      </c>
      <c r="W12" s="388">
        <v>0.34621360069810247</v>
      </c>
      <c r="X12" s="388">
        <v>0.10159707890920576</v>
      </c>
      <c r="Y12" s="388">
        <v>0.51011227222750821</v>
      </c>
      <c r="Z12" s="388">
        <v>0.51011227222750821</v>
      </c>
    </row>
    <row r="13" spans="1:26" s="322" customFormat="1" ht="13">
      <c r="A13" s="386" t="s">
        <v>524</v>
      </c>
      <c r="B13" s="387">
        <v>555</v>
      </c>
      <c r="C13" s="388">
        <v>0.1329454571</v>
      </c>
      <c r="D13" s="388">
        <v>2.9983084813204439E-3</v>
      </c>
      <c r="E13" s="388">
        <v>4.3680417611559368E-4</v>
      </c>
      <c r="F13" s="388">
        <v>0.25317285506530129</v>
      </c>
      <c r="G13" s="389">
        <v>0.49683671109398114</v>
      </c>
      <c r="H13" s="389">
        <v>1.070381193</v>
      </c>
      <c r="I13" s="388">
        <v>9.046363396599999E-2</v>
      </c>
      <c r="J13" s="388">
        <v>0.37224703999999997</v>
      </c>
      <c r="K13" s="388">
        <v>4.6100000000000002E-2</v>
      </c>
      <c r="L13" s="388">
        <v>0.66317080790358474</v>
      </c>
      <c r="M13" s="388">
        <v>5.3513040470844167E-2</v>
      </c>
      <c r="N13" s="389">
        <v>0.17131056352600635</v>
      </c>
      <c r="O13" s="389">
        <v>7.6287290931933827</v>
      </c>
      <c r="P13" s="389" t="s">
        <v>100</v>
      </c>
      <c r="Q13" s="389" t="s">
        <v>100</v>
      </c>
      <c r="R13" s="389">
        <v>1.4898152405273399</v>
      </c>
      <c r="S13" s="389">
        <v>45.716822239999999</v>
      </c>
      <c r="T13" s="388" t="s">
        <v>100</v>
      </c>
      <c r="U13" s="388">
        <v>3.7731131969805355E-2</v>
      </c>
      <c r="V13" s="388">
        <v>3.2445926700498166E-2</v>
      </c>
      <c r="W13" s="388">
        <v>191.56539548863341</v>
      </c>
      <c r="X13" s="388">
        <v>9.970438996062897E-2</v>
      </c>
      <c r="Y13" s="388">
        <v>0.46202369813790523</v>
      </c>
      <c r="Z13" s="388">
        <v>0.46202369813790523</v>
      </c>
    </row>
    <row r="14" spans="1:26" s="322" customFormat="1" ht="13">
      <c r="A14" s="386" t="s">
        <v>525</v>
      </c>
      <c r="B14" s="387">
        <v>432</v>
      </c>
      <c r="C14" s="388">
        <v>5.9001497010000001E-2</v>
      </c>
      <c r="D14" s="388">
        <v>9.3186176255440969E-2</v>
      </c>
      <c r="E14" s="388">
        <v>0.12581036523978903</v>
      </c>
      <c r="F14" s="388">
        <v>0.26031505057631144</v>
      </c>
      <c r="G14" s="389">
        <v>0.84404433108462096</v>
      </c>
      <c r="H14" s="389">
        <v>0.95040426</v>
      </c>
      <c r="I14" s="388">
        <v>8.3025064120000006E-2</v>
      </c>
      <c r="J14" s="388">
        <v>0.34167971200000002</v>
      </c>
      <c r="K14" s="388">
        <v>4.6100000000000002E-2</v>
      </c>
      <c r="L14" s="388">
        <v>0.20521430059145998</v>
      </c>
      <c r="M14" s="388">
        <v>7.3117421501254692E-2</v>
      </c>
      <c r="N14" s="389">
        <v>1.6716053386257277</v>
      </c>
      <c r="O14" s="389">
        <v>1.5049620478394745</v>
      </c>
      <c r="P14" s="389">
        <v>10.931069607782204</v>
      </c>
      <c r="Q14" s="389">
        <v>15.980734171337421</v>
      </c>
      <c r="R14" s="389">
        <v>2.3528632135105445</v>
      </c>
      <c r="S14" s="389">
        <v>30.409049719999999</v>
      </c>
      <c r="T14" s="388">
        <v>0.176281244364873</v>
      </c>
      <c r="U14" s="388">
        <v>4.0283910802616674E-2</v>
      </c>
      <c r="V14" s="388">
        <v>3.3097286382341058E-2</v>
      </c>
      <c r="W14" s="388">
        <v>0.62984993545114343</v>
      </c>
      <c r="X14" s="388">
        <v>0.11458641520955527</v>
      </c>
      <c r="Y14" s="388">
        <v>0.31637689080510528</v>
      </c>
      <c r="Z14" s="388">
        <v>0.31637689080510523</v>
      </c>
    </row>
    <row r="15" spans="1:26" s="322" customFormat="1" ht="13">
      <c r="A15" s="386" t="s">
        <v>526</v>
      </c>
      <c r="B15" s="387">
        <v>834</v>
      </c>
      <c r="C15" s="388">
        <v>8.9143119829999992E-2</v>
      </c>
      <c r="D15" s="388">
        <v>8.8787678029402795E-2</v>
      </c>
      <c r="E15" s="388">
        <v>0.22145328052212881</v>
      </c>
      <c r="F15" s="388">
        <v>0.27709194478347154</v>
      </c>
      <c r="G15" s="389">
        <v>0.88390547174839162</v>
      </c>
      <c r="H15" s="389">
        <v>0.99132837799999995</v>
      </c>
      <c r="I15" s="388">
        <v>8.5562359435999991E-2</v>
      </c>
      <c r="J15" s="388">
        <v>0.40498240000000002</v>
      </c>
      <c r="K15" s="388">
        <v>4.9099999999999998E-2</v>
      </c>
      <c r="L15" s="388">
        <v>0.19658972772263184</v>
      </c>
      <c r="M15" s="388">
        <v>7.6016809670392094E-2</v>
      </c>
      <c r="N15" s="389">
        <v>3.0692260932372033</v>
      </c>
      <c r="O15" s="389">
        <v>1.7618176372103289</v>
      </c>
      <c r="P15" s="389">
        <v>12.975929126109444</v>
      </c>
      <c r="Q15" s="389">
        <v>18.865211990715721</v>
      </c>
      <c r="R15" s="389">
        <v>4.3161518341727954</v>
      </c>
      <c r="S15" s="389">
        <v>59.600363039999998</v>
      </c>
      <c r="T15" s="388">
        <v>9.9552022005160404E-2</v>
      </c>
      <c r="U15" s="388">
        <v>2.4008214669961992E-2</v>
      </c>
      <c r="V15" s="388">
        <v>2.1515145874825323E-2</v>
      </c>
      <c r="W15" s="388">
        <v>0.4858522060688053</v>
      </c>
      <c r="X15" s="388">
        <v>0.16656371980659768</v>
      </c>
      <c r="Y15" s="388">
        <v>0.4937920710272255</v>
      </c>
      <c r="Z15" s="388">
        <v>0.49379207102722544</v>
      </c>
    </row>
    <row r="16" spans="1:26" s="322" customFormat="1" ht="13">
      <c r="A16" s="386" t="s">
        <v>527</v>
      </c>
      <c r="B16" s="387">
        <v>65</v>
      </c>
      <c r="C16" s="388">
        <v>7.8983555560000002E-2</v>
      </c>
      <c r="D16" s="388">
        <v>0.16334448034722579</v>
      </c>
      <c r="E16" s="388">
        <v>0.12055065782980515</v>
      </c>
      <c r="F16" s="388">
        <v>0.28001121728160461</v>
      </c>
      <c r="G16" s="389">
        <v>0.82568756512346508</v>
      </c>
      <c r="H16" s="389">
        <v>1.1500851510000001</v>
      </c>
      <c r="I16" s="388">
        <v>9.5405279361999995E-2</v>
      </c>
      <c r="J16" s="388">
        <v>0.35168282899999997</v>
      </c>
      <c r="K16" s="388">
        <v>4.6100000000000002E-2</v>
      </c>
      <c r="L16" s="388">
        <v>0.36387602527722596</v>
      </c>
      <c r="M16" s="388">
        <v>7.3332665424883703E-2</v>
      </c>
      <c r="N16" s="389">
        <v>0.84300118615923136</v>
      </c>
      <c r="O16" s="389">
        <v>3.7082115592049041</v>
      </c>
      <c r="P16" s="389">
        <v>10.733565275045493</v>
      </c>
      <c r="Q16" s="389">
        <v>22.184723486347188</v>
      </c>
      <c r="R16" s="389">
        <v>3.2223414178259357</v>
      </c>
      <c r="S16" s="389">
        <v>53.351008239999999</v>
      </c>
      <c r="T16" s="388">
        <v>-1.3369506725555579E-2</v>
      </c>
      <c r="U16" s="388">
        <v>0.12938771817392877</v>
      </c>
      <c r="V16" s="388">
        <v>-2.5669674355453018E-2</v>
      </c>
      <c r="W16" s="388">
        <v>-0.19464982487492472</v>
      </c>
      <c r="X16" s="388">
        <v>0.10261876062440804</v>
      </c>
      <c r="Y16" s="388">
        <v>0.35725025847279002</v>
      </c>
      <c r="Z16" s="388">
        <v>0.35725025847279002</v>
      </c>
    </row>
    <row r="17" spans="1:26" s="322" customFormat="1" ht="13">
      <c r="A17" s="386" t="s">
        <v>528</v>
      </c>
      <c r="B17" s="387">
        <v>787</v>
      </c>
      <c r="C17" s="388">
        <v>6.2841445780000005E-2</v>
      </c>
      <c r="D17" s="388">
        <v>0.10691970524414697</v>
      </c>
      <c r="E17" s="388">
        <v>0.11066768716362094</v>
      </c>
      <c r="F17" s="388">
        <v>0.18667287558114329</v>
      </c>
      <c r="G17" s="389">
        <v>1.0368796601434949</v>
      </c>
      <c r="H17" s="389">
        <v>1.135695814</v>
      </c>
      <c r="I17" s="388">
        <v>9.4513140467999995E-2</v>
      </c>
      <c r="J17" s="388">
        <v>0.343644008</v>
      </c>
      <c r="K17" s="388">
        <v>4.6100000000000002E-2</v>
      </c>
      <c r="L17" s="388">
        <v>0.20424319050081843</v>
      </c>
      <c r="M17" s="388">
        <v>8.2306021187133177E-2</v>
      </c>
      <c r="N17" s="389">
        <v>1.2520658478412632</v>
      </c>
      <c r="O17" s="389">
        <v>1.5419245587961397</v>
      </c>
      <c r="P17" s="389">
        <v>9.5304667867338591</v>
      </c>
      <c r="Q17" s="389">
        <v>14.13659877621007</v>
      </c>
      <c r="R17" s="389">
        <v>1.9341191170162393</v>
      </c>
      <c r="S17" s="389">
        <v>38.075239930000002</v>
      </c>
      <c r="T17" s="388">
        <v>0.14161492228725234</v>
      </c>
      <c r="U17" s="388">
        <v>5.7901905411821539E-2</v>
      </c>
      <c r="V17" s="388">
        <v>3.7426649757729684E-2</v>
      </c>
      <c r="W17" s="388">
        <v>0.66024152037896944</v>
      </c>
      <c r="X17" s="388">
        <v>0.1436433427402615</v>
      </c>
      <c r="Y17" s="388">
        <v>0.39949113976908451</v>
      </c>
      <c r="Z17" s="388">
        <v>0.39949113976908457</v>
      </c>
    </row>
    <row r="18" spans="1:26" s="322" customFormat="1" ht="13">
      <c r="A18" s="386" t="s">
        <v>529</v>
      </c>
      <c r="B18" s="387">
        <v>75</v>
      </c>
      <c r="C18" s="388">
        <v>4.1228437500000006E-2</v>
      </c>
      <c r="D18" s="388">
        <v>0.11204207227302437</v>
      </c>
      <c r="E18" s="388">
        <v>0.11914755138411222</v>
      </c>
      <c r="F18" s="388">
        <v>0.22741451564332185</v>
      </c>
      <c r="G18" s="389">
        <v>1.3147269965089328</v>
      </c>
      <c r="H18" s="389">
        <v>1.50266922</v>
      </c>
      <c r="I18" s="388">
        <v>0.11726549164</v>
      </c>
      <c r="J18" s="388">
        <v>0.337537158</v>
      </c>
      <c r="K18" s="388">
        <v>4.6100000000000002E-2</v>
      </c>
      <c r="L18" s="388">
        <v>0.23017738198284537</v>
      </c>
      <c r="M18" s="388">
        <v>9.8271272115475247E-2</v>
      </c>
      <c r="N18" s="389">
        <v>1.3119843420488837</v>
      </c>
      <c r="O18" s="389">
        <v>1.7862968540388242</v>
      </c>
      <c r="P18" s="389">
        <v>10.216869838182156</v>
      </c>
      <c r="Q18" s="389">
        <v>16.025097812868097</v>
      </c>
      <c r="R18" s="389">
        <v>1.7731799756752034</v>
      </c>
      <c r="S18" s="389">
        <v>22.344379450000002</v>
      </c>
      <c r="T18" s="388">
        <v>0.22056907153690428</v>
      </c>
      <c r="U18" s="388">
        <v>7.1636915149476788E-2</v>
      </c>
      <c r="V18" s="388">
        <v>4.0019682960725472E-2</v>
      </c>
      <c r="W18" s="388">
        <v>0.58598890522841229</v>
      </c>
      <c r="X18" s="388">
        <v>0.14102540929423277</v>
      </c>
      <c r="Y18" s="388">
        <v>0.41524539413989714</v>
      </c>
      <c r="Z18" s="388">
        <v>0.41524539413989714</v>
      </c>
    </row>
    <row r="19" spans="1:26" s="322" customFormat="1" ht="13">
      <c r="A19" s="386" t="s">
        <v>530</v>
      </c>
      <c r="B19" s="387">
        <v>770</v>
      </c>
      <c r="C19" s="388">
        <v>5.8134971100000002E-2</v>
      </c>
      <c r="D19" s="388">
        <v>0.11327955315426561</v>
      </c>
      <c r="E19" s="388">
        <v>0.1215775733131307</v>
      </c>
      <c r="F19" s="388">
        <v>0.22583226405032231</v>
      </c>
      <c r="G19" s="389">
        <v>1.0643536900005743</v>
      </c>
      <c r="H19" s="389">
        <v>1.1747598459999999</v>
      </c>
      <c r="I19" s="388">
        <v>9.6935110451999998E-2</v>
      </c>
      <c r="J19" s="388">
        <v>0.39157476200000002</v>
      </c>
      <c r="K19" s="388">
        <v>4.6100000000000002E-2</v>
      </c>
      <c r="L19" s="388">
        <v>0.18466391079428818</v>
      </c>
      <c r="M19" s="388">
        <v>8.5450946701634084E-2</v>
      </c>
      <c r="N19" s="389">
        <v>1.2836357878922267</v>
      </c>
      <c r="O19" s="389">
        <v>2.1829315272819527</v>
      </c>
      <c r="P19" s="389">
        <v>12.881226595514459</v>
      </c>
      <c r="Q19" s="389">
        <v>19.092623608074476</v>
      </c>
      <c r="R19" s="389">
        <v>2.9595758048489218</v>
      </c>
      <c r="S19" s="389">
        <v>49.746109449999999</v>
      </c>
      <c r="T19" s="388">
        <v>0.15661742587513158</v>
      </c>
      <c r="U19" s="388">
        <v>5.9262189281202679E-2</v>
      </c>
      <c r="V19" s="388">
        <v>5.8164132673308465E-2</v>
      </c>
      <c r="W19" s="388">
        <v>0.79806228129472034</v>
      </c>
      <c r="X19" s="388">
        <v>0.13564520680129766</v>
      </c>
      <c r="Y19" s="388">
        <v>0.41845979020297341</v>
      </c>
      <c r="Z19" s="388">
        <v>0.41845979020297341</v>
      </c>
    </row>
    <row r="20" spans="1:26" s="322" customFormat="1" ht="13">
      <c r="A20" s="386" t="s">
        <v>531</v>
      </c>
      <c r="B20" s="387">
        <v>254</v>
      </c>
      <c r="C20" s="388">
        <v>-1.170099174E-2</v>
      </c>
      <c r="D20" s="388">
        <v>0.17227148612445214</v>
      </c>
      <c r="E20" s="388">
        <v>0.14155741429985388</v>
      </c>
      <c r="F20" s="388">
        <v>0.21803095929037822</v>
      </c>
      <c r="G20" s="389">
        <v>1.1057499799525428</v>
      </c>
      <c r="H20" s="389">
        <v>1.246981573</v>
      </c>
      <c r="I20" s="388">
        <v>0.101412857526</v>
      </c>
      <c r="J20" s="388">
        <v>0.58189185399999999</v>
      </c>
      <c r="K20" s="388">
        <v>4.9099999999999998E-2</v>
      </c>
      <c r="L20" s="388">
        <v>0.28004580550784192</v>
      </c>
      <c r="M20" s="388">
        <v>8.3376174860592206E-2</v>
      </c>
      <c r="N20" s="389">
        <v>0.89761508285971991</v>
      </c>
      <c r="O20" s="389">
        <v>1.7041685280187273</v>
      </c>
      <c r="P20" s="389">
        <v>6.4333254149938188</v>
      </c>
      <c r="Q20" s="389">
        <v>9.4707041104951433</v>
      </c>
      <c r="R20" s="389">
        <v>1.4569318022825319</v>
      </c>
      <c r="S20" s="389">
        <v>122.6718262</v>
      </c>
      <c r="T20" s="388">
        <v>1.2762734453635058E-2</v>
      </c>
      <c r="U20" s="388">
        <v>7.5098628709739698E-2</v>
      </c>
      <c r="V20" s="388">
        <v>2.4490877096250155E-2</v>
      </c>
      <c r="W20" s="388">
        <v>0.1180266023690057</v>
      </c>
      <c r="X20" s="388">
        <v>0.14934089905147069</v>
      </c>
      <c r="Y20" s="388">
        <v>0.72355498354234715</v>
      </c>
      <c r="Z20" s="388">
        <v>0.72355498354234715</v>
      </c>
    </row>
    <row r="21" spans="1:26" s="322" customFormat="1" ht="13">
      <c r="A21" s="386" t="s">
        <v>532</v>
      </c>
      <c r="B21" s="387">
        <v>931</v>
      </c>
      <c r="C21" s="388">
        <v>8.1902360059999998E-2</v>
      </c>
      <c r="D21" s="388">
        <v>7.5694690409503676E-2</v>
      </c>
      <c r="E21" s="388">
        <v>0.20736079228244167</v>
      </c>
      <c r="F21" s="388">
        <v>0.20770227245672429</v>
      </c>
      <c r="G21" s="389">
        <v>1.0135857658035281</v>
      </c>
      <c r="H21" s="389">
        <v>1.0836705040000001</v>
      </c>
      <c r="I21" s="388">
        <v>9.1287571248000007E-2</v>
      </c>
      <c r="J21" s="388">
        <v>0.39256792099999999</v>
      </c>
      <c r="K21" s="388">
        <v>4.6100000000000002E-2</v>
      </c>
      <c r="L21" s="388">
        <v>0.15802567455779071</v>
      </c>
      <c r="M21" s="388">
        <v>8.2352483359937362E-2</v>
      </c>
      <c r="N21" s="389">
        <v>3.3085028964180516</v>
      </c>
      <c r="O21" s="389">
        <v>1.2899417909424864</v>
      </c>
      <c r="P21" s="389">
        <v>12.148974024272373</v>
      </c>
      <c r="Q21" s="389">
        <v>16.802370405554139</v>
      </c>
      <c r="R21" s="389">
        <v>3.4523465830948257</v>
      </c>
      <c r="S21" s="389">
        <v>49.110762630000004</v>
      </c>
      <c r="T21" s="388">
        <v>0.14323778017458363</v>
      </c>
      <c r="U21" s="388">
        <v>1.8155784642275061E-2</v>
      </c>
      <c r="V21" s="388">
        <v>1.9285385729619495E-2</v>
      </c>
      <c r="W21" s="388">
        <v>0.47557408762801234</v>
      </c>
      <c r="X21" s="388">
        <v>0.18959145715415521</v>
      </c>
      <c r="Y21" s="388">
        <v>0.36405880132362034</v>
      </c>
      <c r="Z21" s="388">
        <v>0.36405880132362034</v>
      </c>
    </row>
    <row r="22" spans="1:26" s="322" customFormat="1" ht="13">
      <c r="A22" s="386" t="s">
        <v>533</v>
      </c>
      <c r="B22" s="387">
        <v>331</v>
      </c>
      <c r="C22" s="388">
        <v>1.9933730770000001E-2</v>
      </c>
      <c r="D22" s="388">
        <v>0.12454520667708496</v>
      </c>
      <c r="E22" s="388">
        <v>0.16607755871044957</v>
      </c>
      <c r="F22" s="388">
        <v>0.23969354635794385</v>
      </c>
      <c r="G22" s="389">
        <v>1.2105562136549406</v>
      </c>
      <c r="H22" s="389">
        <v>1.270387258</v>
      </c>
      <c r="I22" s="388">
        <v>0.102864009996</v>
      </c>
      <c r="J22" s="388">
        <v>0.37998545500000003</v>
      </c>
      <c r="K22" s="388">
        <v>4.6100000000000002E-2</v>
      </c>
      <c r="L22" s="388">
        <v>0.15641308701077203</v>
      </c>
      <c r="M22" s="388">
        <v>9.2209394513867587E-2</v>
      </c>
      <c r="N22" s="389">
        <v>1.5220737689447399</v>
      </c>
      <c r="O22" s="389">
        <v>1.6608867370450426</v>
      </c>
      <c r="P22" s="389">
        <v>9.4533224148500032</v>
      </c>
      <c r="Q22" s="389">
        <v>13.297444158454049</v>
      </c>
      <c r="R22" s="389">
        <v>2.8857013539925833</v>
      </c>
      <c r="S22" s="389">
        <v>61.584345829999997</v>
      </c>
      <c r="T22" s="388">
        <v>5.4791768595296254E-2</v>
      </c>
      <c r="U22" s="388">
        <v>6.7349109095433998E-2</v>
      </c>
      <c r="V22" s="388">
        <v>6.7142809080524599E-2</v>
      </c>
      <c r="W22" s="388">
        <v>0.8465810946354646</v>
      </c>
      <c r="X22" s="388">
        <v>0.18860770740631408</v>
      </c>
      <c r="Y22" s="388">
        <v>0.28122039328489606</v>
      </c>
      <c r="Z22" s="388">
        <v>0.28122039328489601</v>
      </c>
    </row>
    <row r="23" spans="1:26" s="322" customFormat="1" ht="13">
      <c r="A23" s="386" t="s">
        <v>534</v>
      </c>
      <c r="B23" s="387">
        <v>763</v>
      </c>
      <c r="C23" s="388">
        <v>5.467339559E-2</v>
      </c>
      <c r="D23" s="388">
        <v>8.7659503443530032E-2</v>
      </c>
      <c r="E23" s="388">
        <v>8.5513602990156506E-2</v>
      </c>
      <c r="F23" s="388">
        <v>0.23776081800519716</v>
      </c>
      <c r="G23" s="389">
        <v>1.0592816032303096</v>
      </c>
      <c r="H23" s="389">
        <v>1.255476603</v>
      </c>
      <c r="I23" s="388">
        <v>0.101939549386</v>
      </c>
      <c r="J23" s="388">
        <v>0.34652781799999999</v>
      </c>
      <c r="K23" s="388">
        <v>4.6100000000000002E-2</v>
      </c>
      <c r="L23" s="388">
        <v>0.2920115676620737</v>
      </c>
      <c r="M23" s="388">
        <v>8.2318130128041067E-2</v>
      </c>
      <c r="N23" s="389">
        <v>1.1675620301840348</v>
      </c>
      <c r="O23" s="389">
        <v>1.6762825649789705</v>
      </c>
      <c r="P23" s="389">
        <v>11.852786678481966</v>
      </c>
      <c r="Q23" s="389">
        <v>18.869566479734498</v>
      </c>
      <c r="R23" s="389">
        <v>1.9283565931021049</v>
      </c>
      <c r="S23" s="389">
        <v>45.864065199999999</v>
      </c>
      <c r="T23" s="388">
        <v>0.13318282914681429</v>
      </c>
      <c r="U23" s="388">
        <v>4.6017674826140886E-2</v>
      </c>
      <c r="V23" s="388">
        <v>3.5128628300103312E-2</v>
      </c>
      <c r="W23" s="388">
        <v>0.75837516293103202</v>
      </c>
      <c r="X23" s="388">
        <v>0.1016560239399706</v>
      </c>
      <c r="Y23" s="388">
        <v>0.46284032875507464</v>
      </c>
      <c r="Z23" s="388">
        <v>0.46284032875507464</v>
      </c>
    </row>
    <row r="24" spans="1:26" s="322" customFormat="1" ht="13">
      <c r="A24" s="386" t="s">
        <v>535</v>
      </c>
      <c r="B24" s="387">
        <v>349</v>
      </c>
      <c r="C24" s="388">
        <v>5.5677482009999994E-2</v>
      </c>
      <c r="D24" s="388">
        <v>0.13065175377310903</v>
      </c>
      <c r="E24" s="388">
        <v>0.1079591739998525</v>
      </c>
      <c r="F24" s="388">
        <v>0.21526037666107292</v>
      </c>
      <c r="G24" s="389">
        <v>0.75801351304296727</v>
      </c>
      <c r="H24" s="389">
        <v>1.0028100879999999</v>
      </c>
      <c r="I24" s="388">
        <v>8.6274225455999998E-2</v>
      </c>
      <c r="J24" s="388">
        <v>0.27076427400000003</v>
      </c>
      <c r="K24" s="388">
        <v>4.6100000000000002E-2</v>
      </c>
      <c r="L24" s="388">
        <v>0.37272439297905513</v>
      </c>
      <c r="M24" s="388">
        <v>6.7068238630135529E-2</v>
      </c>
      <c r="N24" s="389">
        <v>0.97556850547874518</v>
      </c>
      <c r="O24" s="389">
        <v>1.6889089970880684</v>
      </c>
      <c r="P24" s="389">
        <v>9.5209219995787642</v>
      </c>
      <c r="Q24" s="389">
        <v>12.738058449107628</v>
      </c>
      <c r="R24" s="389">
        <v>1.2419928065335892</v>
      </c>
      <c r="S24" s="389">
        <v>27.209151309999999</v>
      </c>
      <c r="T24" s="388">
        <v>-0.13702415215781591</v>
      </c>
      <c r="U24" s="388">
        <v>4.9101278020864114E-2</v>
      </c>
      <c r="V24" s="388">
        <v>4.1181976415689443E-2</v>
      </c>
      <c r="W24" s="388">
        <v>0.46973493559026114</v>
      </c>
      <c r="X24" s="388">
        <v>9.8389827961008397E-2</v>
      </c>
      <c r="Y24" s="388">
        <v>0.30936947237750562</v>
      </c>
      <c r="Z24" s="388">
        <v>0.30936947237750556</v>
      </c>
    </row>
    <row r="25" spans="1:26" s="322" customFormat="1" ht="13">
      <c r="A25" s="386" t="s">
        <v>536</v>
      </c>
      <c r="B25" s="387">
        <v>952</v>
      </c>
      <c r="C25" s="388">
        <v>0.22894976539999998</v>
      </c>
      <c r="D25" s="388">
        <v>0.23086929441886947</v>
      </c>
      <c r="E25" s="388">
        <v>0.102634142805896</v>
      </c>
      <c r="F25" s="388">
        <v>0.20060542100903916</v>
      </c>
      <c r="G25" s="389">
        <v>1.3126218468856243</v>
      </c>
      <c r="H25" s="389">
        <v>1.3839374209999999</v>
      </c>
      <c r="I25" s="388">
        <v>0.10990412010199999</v>
      </c>
      <c r="J25" s="388">
        <v>0.73158537899999998</v>
      </c>
      <c r="K25" s="388">
        <v>5.6599999999999998E-2</v>
      </c>
      <c r="L25" s="388">
        <v>0.12713560678706401</v>
      </c>
      <c r="M25" s="388">
        <v>0.10135492435131807</v>
      </c>
      <c r="N25" s="389">
        <v>0.45463899345425984</v>
      </c>
      <c r="O25" s="389">
        <v>7.9333896895021008</v>
      </c>
      <c r="P25" s="389">
        <v>14.77154449596769</v>
      </c>
      <c r="Q25" s="389">
        <v>29.356825114352752</v>
      </c>
      <c r="R25" s="389">
        <v>5.5298305884658872</v>
      </c>
      <c r="S25" s="389">
        <v>298.1618833</v>
      </c>
      <c r="T25" s="388">
        <v>0.19155625907918988</v>
      </c>
      <c r="U25" s="388">
        <v>4.8442559172711529E-2</v>
      </c>
      <c r="V25" s="388">
        <v>4.2278321905549435E-2</v>
      </c>
      <c r="W25" s="388">
        <v>0.42184702665756768</v>
      </c>
      <c r="X25" s="388">
        <v>8.9325745426149794E-2</v>
      </c>
      <c r="Y25" s="388">
        <v>0.67920704134011889</v>
      </c>
      <c r="Z25" s="388">
        <v>0.67920704134011889</v>
      </c>
    </row>
    <row r="26" spans="1:26" s="322" customFormat="1" ht="13">
      <c r="A26" s="386" t="s">
        <v>537</v>
      </c>
      <c r="B26" s="387">
        <v>1036</v>
      </c>
      <c r="C26" s="388">
        <v>0.12529628230000001</v>
      </c>
      <c r="D26" s="388">
        <v>0.19799072965502348</v>
      </c>
      <c r="E26" s="388">
        <v>0.12777055773712648</v>
      </c>
      <c r="F26" s="388">
        <v>0.20384095572448321</v>
      </c>
      <c r="G26" s="389">
        <v>1.0629007693743668</v>
      </c>
      <c r="H26" s="389">
        <v>1.1417123790000001</v>
      </c>
      <c r="I26" s="388">
        <v>9.4886167497999996E-2</v>
      </c>
      <c r="J26" s="388">
        <v>0.43001098100000001</v>
      </c>
      <c r="K26" s="388">
        <v>4.9099999999999998E-2</v>
      </c>
      <c r="L26" s="388">
        <v>0.1413048421606356</v>
      </c>
      <c r="M26" s="388">
        <v>8.6707514239708211E-2</v>
      </c>
      <c r="N26" s="389">
        <v>0.72805370922523804</v>
      </c>
      <c r="O26" s="389">
        <v>3.9417290193686148</v>
      </c>
      <c r="P26" s="389">
        <v>13.962973629117364</v>
      </c>
      <c r="Q26" s="389">
        <v>20.405443577984361</v>
      </c>
      <c r="R26" s="389">
        <v>3.4354855628958822</v>
      </c>
      <c r="S26" s="389">
        <v>910.91103559999999</v>
      </c>
      <c r="T26" s="388">
        <v>0.17630924795165576</v>
      </c>
      <c r="U26" s="388">
        <v>4.3775511774489517E-2</v>
      </c>
      <c r="V26" s="388">
        <v>5.7539034422597495E-2</v>
      </c>
      <c r="W26" s="388">
        <v>0.44449839068060204</v>
      </c>
      <c r="X26" s="388">
        <v>0.11857156067323586</v>
      </c>
      <c r="Y26" s="388">
        <v>0.67268738844064913</v>
      </c>
      <c r="Z26" s="388">
        <v>0.67268738844064913</v>
      </c>
    </row>
    <row r="27" spans="1:26" s="322" customFormat="1" ht="13">
      <c r="A27" s="386" t="s">
        <v>538</v>
      </c>
      <c r="B27" s="387">
        <v>185</v>
      </c>
      <c r="C27" s="388">
        <v>3.8453119270000002E-2</v>
      </c>
      <c r="D27" s="388">
        <v>0.1106713498239166</v>
      </c>
      <c r="E27" s="388">
        <v>0.11480585162199579</v>
      </c>
      <c r="F27" s="388">
        <v>0.17131185084288647</v>
      </c>
      <c r="G27" s="389">
        <v>0.85054097495250913</v>
      </c>
      <c r="H27" s="389">
        <v>0.928407333</v>
      </c>
      <c r="I27" s="388">
        <v>8.1661254646000006E-2</v>
      </c>
      <c r="J27" s="388">
        <v>0.418947238</v>
      </c>
      <c r="K27" s="388">
        <v>4.9099999999999998E-2</v>
      </c>
      <c r="L27" s="388">
        <v>0.19504160010825622</v>
      </c>
      <c r="M27" s="388">
        <v>7.2951753004474595E-2</v>
      </c>
      <c r="N27" s="389">
        <v>1.2300902389326624</v>
      </c>
      <c r="O27" s="389">
        <v>2.3506267659122959</v>
      </c>
      <c r="P27" s="389">
        <v>11.764831868915143</v>
      </c>
      <c r="Q27" s="389">
        <v>20.585910417178642</v>
      </c>
      <c r="R27" s="389">
        <v>2.4892316002182677</v>
      </c>
      <c r="S27" s="389">
        <v>81.647040630000006</v>
      </c>
      <c r="T27" s="388">
        <v>7.6643362156944561E-2</v>
      </c>
      <c r="U27" s="388">
        <v>5.6296870885295967E-2</v>
      </c>
      <c r="V27" s="388">
        <v>4.612966712302987E-2</v>
      </c>
      <c r="W27" s="388">
        <v>0.67940505908084725</v>
      </c>
      <c r="X27" s="388">
        <v>8.9027564278243029E-2</v>
      </c>
      <c r="Y27" s="388">
        <v>0.41139318806302611</v>
      </c>
      <c r="Z27" s="388">
        <v>0.41139318806302616</v>
      </c>
    </row>
    <row r="28" spans="1:26" s="322" customFormat="1" ht="13">
      <c r="A28" s="386" t="s">
        <v>539</v>
      </c>
      <c r="B28" s="387">
        <v>909</v>
      </c>
      <c r="C28" s="388">
        <v>5.4304435220000002E-2</v>
      </c>
      <c r="D28" s="388">
        <v>9.2070565572304003E-2</v>
      </c>
      <c r="E28" s="388">
        <v>0.12446051303398727</v>
      </c>
      <c r="F28" s="388">
        <v>0.22233385419545262</v>
      </c>
      <c r="G28" s="389">
        <v>1.1257250626724082</v>
      </c>
      <c r="H28" s="389">
        <v>1.2202852719999999</v>
      </c>
      <c r="I28" s="388">
        <v>9.9757686863999995E-2</v>
      </c>
      <c r="J28" s="388">
        <v>0.39872195500000002</v>
      </c>
      <c r="K28" s="388">
        <v>4.6100000000000002E-2</v>
      </c>
      <c r="L28" s="388">
        <v>0.19280164452672563</v>
      </c>
      <c r="M28" s="388">
        <v>8.7223243818457113E-2</v>
      </c>
      <c r="N28" s="389">
        <v>1.5553347483846429</v>
      </c>
      <c r="O28" s="389">
        <v>1.8367430402659404</v>
      </c>
      <c r="P28" s="389">
        <v>12.1931312807674</v>
      </c>
      <c r="Q28" s="389">
        <v>19.578511684786573</v>
      </c>
      <c r="R28" s="389">
        <v>2.6325972295904791</v>
      </c>
      <c r="S28" s="389">
        <v>59.800045169999997</v>
      </c>
      <c r="T28" s="388">
        <v>0.21444620858472652</v>
      </c>
      <c r="U28" s="388">
        <v>4.3050300419979287E-2</v>
      </c>
      <c r="V28" s="388">
        <v>4.3296046842563662E-2</v>
      </c>
      <c r="W28" s="388">
        <v>0.80829797823855265</v>
      </c>
      <c r="X28" s="388">
        <v>0.11091860338345577</v>
      </c>
      <c r="Y28" s="388">
        <v>0.44910423049925763</v>
      </c>
      <c r="Z28" s="388">
        <v>0.44910423049925763</v>
      </c>
    </row>
    <row r="29" spans="1:26" s="322" customFormat="1" ht="13">
      <c r="A29" s="386" t="s">
        <v>540</v>
      </c>
      <c r="B29" s="387">
        <v>152</v>
      </c>
      <c r="C29" s="388">
        <v>-1.741769231E-2</v>
      </c>
      <c r="D29" s="388">
        <v>5.1066250159286938E-2</v>
      </c>
      <c r="E29" s="388">
        <v>0.10336852812963081</v>
      </c>
      <c r="F29" s="388">
        <v>0.33974079168470195</v>
      </c>
      <c r="G29" s="389">
        <v>1.1959638594916824</v>
      </c>
      <c r="H29" s="389">
        <v>1.2636858399999999</v>
      </c>
      <c r="I29" s="388">
        <v>0.10244852207999999</v>
      </c>
      <c r="J29" s="388">
        <v>0.43233394200000003</v>
      </c>
      <c r="K29" s="388">
        <v>4.9099999999999998E-2</v>
      </c>
      <c r="L29" s="388">
        <v>0.23577835041056594</v>
      </c>
      <c r="M29" s="388">
        <v>8.7018750148765339E-2</v>
      </c>
      <c r="N29" s="389">
        <v>2.2696635009036275</v>
      </c>
      <c r="O29" s="389">
        <v>0.75576393100018646</v>
      </c>
      <c r="P29" s="389">
        <v>8.6342742210314984</v>
      </c>
      <c r="Q29" s="389">
        <v>15.326915335376645</v>
      </c>
      <c r="R29" s="389">
        <v>1.9220048038493946</v>
      </c>
      <c r="S29" s="389">
        <v>116.9901261</v>
      </c>
      <c r="T29" s="388">
        <v>1.8435749090536635E-2</v>
      </c>
      <c r="U29" s="388">
        <v>4.6006307849435754E-2</v>
      </c>
      <c r="V29" s="388">
        <v>2.8936375813342862E-2</v>
      </c>
      <c r="W29" s="388">
        <v>1.1069615965084918</v>
      </c>
      <c r="X29" s="388">
        <v>6.9354742537272335E-2</v>
      </c>
      <c r="Y29" s="388">
        <v>0.38913214803982049</v>
      </c>
      <c r="Z29" s="388">
        <v>0.38913214803982044</v>
      </c>
    </row>
    <row r="30" spans="1:26" s="322" customFormat="1" ht="13">
      <c r="A30" s="386" t="s">
        <v>541</v>
      </c>
      <c r="B30" s="387">
        <v>1298</v>
      </c>
      <c r="C30" s="388">
        <v>6.1235795340000003E-2</v>
      </c>
      <c r="D30" s="388">
        <v>8.2586216254101258E-2</v>
      </c>
      <c r="E30" s="388">
        <v>0.11365592550755393</v>
      </c>
      <c r="F30" s="388">
        <v>0.21711435645717159</v>
      </c>
      <c r="G30" s="389">
        <v>1.2805388950996834</v>
      </c>
      <c r="H30" s="389">
        <v>1.2687709680000001</v>
      </c>
      <c r="I30" s="388">
        <v>0.10276380001600001</v>
      </c>
      <c r="J30" s="388">
        <v>0.39531987600000001</v>
      </c>
      <c r="K30" s="388">
        <v>4.6100000000000002E-2</v>
      </c>
      <c r="L30" s="388">
        <v>0.12698229587082296</v>
      </c>
      <c r="M30" s="388">
        <v>9.4126689007498598E-2</v>
      </c>
      <c r="N30" s="389">
        <v>1.5942788148424056</v>
      </c>
      <c r="O30" s="389">
        <v>1.5319369962275473</v>
      </c>
      <c r="P30" s="389">
        <v>11.752508397802808</v>
      </c>
      <c r="Q30" s="389">
        <v>18.624886221139498</v>
      </c>
      <c r="R30" s="389">
        <v>2.4255585272339886</v>
      </c>
      <c r="S30" s="389">
        <v>67.399321709999995</v>
      </c>
      <c r="T30" s="388">
        <v>0.1703420453082034</v>
      </c>
      <c r="U30" s="388">
        <v>5.9890795072933517E-2</v>
      </c>
      <c r="V30" s="388">
        <v>5.5534596155835045E-2</v>
      </c>
      <c r="W30" s="388">
        <v>1.2306967582305748</v>
      </c>
      <c r="X30" s="388">
        <v>0.11513853173669288</v>
      </c>
      <c r="Y30" s="388">
        <v>0.35440272673639633</v>
      </c>
      <c r="Z30" s="388">
        <v>0.35440272673639628</v>
      </c>
    </row>
    <row r="31" spans="1:26" s="322" customFormat="1" ht="13">
      <c r="A31" s="386" t="s">
        <v>542</v>
      </c>
      <c r="B31" s="387">
        <v>1185</v>
      </c>
      <c r="C31" s="388">
        <v>5.0952031819999993E-2</v>
      </c>
      <c r="D31" s="388">
        <v>4.956987189307261E-2</v>
      </c>
      <c r="E31" s="388">
        <v>9.5008160357116192E-2</v>
      </c>
      <c r="F31" s="388">
        <v>0.24779968581007644</v>
      </c>
      <c r="G31" s="389">
        <v>0.97217312742663708</v>
      </c>
      <c r="H31" s="389">
        <v>1.182273151</v>
      </c>
      <c r="I31" s="388">
        <v>9.7400935361999993E-2</v>
      </c>
      <c r="J31" s="388">
        <v>0.36791690599999999</v>
      </c>
      <c r="K31" s="388">
        <v>4.6100000000000002E-2</v>
      </c>
      <c r="L31" s="388">
        <v>0.39305176282190202</v>
      </c>
      <c r="M31" s="388">
        <v>7.2774133556215564E-2</v>
      </c>
      <c r="N31" s="389">
        <v>2.3193524659522464</v>
      </c>
      <c r="O31" s="389">
        <v>0.71992344691705978</v>
      </c>
      <c r="P31" s="389">
        <v>9.5697812811234826</v>
      </c>
      <c r="Q31" s="389">
        <v>14.174412122490716</v>
      </c>
      <c r="R31" s="389">
        <v>1.5212133823134804</v>
      </c>
      <c r="S31" s="389">
        <v>42.854915800000001</v>
      </c>
      <c r="T31" s="388">
        <v>0.10902391109125846</v>
      </c>
      <c r="U31" s="388">
        <v>2.9963026542196097E-2</v>
      </c>
      <c r="V31" s="388">
        <v>2.0618566031022374E-2</v>
      </c>
      <c r="W31" s="388">
        <v>0.50446878196910439</v>
      </c>
      <c r="X31" s="388">
        <v>9.9781034514274128E-2</v>
      </c>
      <c r="Y31" s="388">
        <v>0.50540898099718989</v>
      </c>
      <c r="Z31" s="388">
        <v>0.50540898099718989</v>
      </c>
    </row>
    <row r="32" spans="1:26" s="322" customFormat="1" ht="13">
      <c r="A32" s="386" t="s">
        <v>543</v>
      </c>
      <c r="B32" s="387">
        <v>374</v>
      </c>
      <c r="C32" s="388">
        <v>7.564589109E-2</v>
      </c>
      <c r="D32" s="388">
        <v>0.16528904912264203</v>
      </c>
      <c r="E32" s="388">
        <v>0.20746235474148172</v>
      </c>
      <c r="F32" s="388">
        <v>0.28400830131051147</v>
      </c>
      <c r="G32" s="389">
        <v>1.0178523443102683</v>
      </c>
      <c r="H32" s="389">
        <v>1.191871865</v>
      </c>
      <c r="I32" s="388">
        <v>9.7996055629999995E-2</v>
      </c>
      <c r="J32" s="388">
        <v>0.447747489</v>
      </c>
      <c r="K32" s="388">
        <v>4.9099999999999998E-2</v>
      </c>
      <c r="L32" s="388">
        <v>0.2391616500746005</v>
      </c>
      <c r="M32" s="388">
        <v>8.3409733525693072E-2</v>
      </c>
      <c r="N32" s="389">
        <v>1.3972783463707019</v>
      </c>
      <c r="O32" s="389">
        <v>2.8999415778110627</v>
      </c>
      <c r="P32" s="389">
        <v>11.697917267440397</v>
      </c>
      <c r="Q32" s="389">
        <v>17.08268653075725</v>
      </c>
      <c r="R32" s="389">
        <v>2.8151613312747528</v>
      </c>
      <c r="S32" s="389">
        <v>121.66256079999999</v>
      </c>
      <c r="T32" s="388">
        <v>9.8223998474677249E-2</v>
      </c>
      <c r="U32" s="388">
        <v>4.510031512521185E-2</v>
      </c>
      <c r="V32" s="388">
        <v>5.3703108979086304E-2</v>
      </c>
      <c r="W32" s="388">
        <v>1.0155460604539617</v>
      </c>
      <c r="X32" s="388">
        <v>0.13547483638114086</v>
      </c>
      <c r="Y32" s="388">
        <v>0.33702527163763701</v>
      </c>
      <c r="Z32" s="388">
        <v>0.33702527163763696</v>
      </c>
    </row>
    <row r="33" spans="1:26" s="322" customFormat="1" ht="13">
      <c r="A33" s="386" t="s">
        <v>544</v>
      </c>
      <c r="B33" s="387">
        <v>320</v>
      </c>
      <c r="C33" s="388">
        <v>0.14818455090000002</v>
      </c>
      <c r="D33" s="388">
        <v>0.11708793501452699</v>
      </c>
      <c r="E33" s="388">
        <v>0.15966323668809065</v>
      </c>
      <c r="F33" s="388">
        <v>0.2627447985236428</v>
      </c>
      <c r="G33" s="389">
        <v>1.0342244935979679</v>
      </c>
      <c r="H33" s="389">
        <v>1.2045499710000001</v>
      </c>
      <c r="I33" s="388">
        <v>9.8782098201999999E-2</v>
      </c>
      <c r="J33" s="388">
        <v>0.46289775500000002</v>
      </c>
      <c r="K33" s="388">
        <v>4.9099999999999998E-2</v>
      </c>
      <c r="L33" s="388">
        <v>0.22331539406826187</v>
      </c>
      <c r="M33" s="388">
        <v>8.4986694109334751E-2</v>
      </c>
      <c r="N33" s="389">
        <v>1.5649981085228859</v>
      </c>
      <c r="O33" s="389">
        <v>2.5858193489786045</v>
      </c>
      <c r="P33" s="389">
        <v>13.375387944164517</v>
      </c>
      <c r="Q33" s="389">
        <v>21.823022902040847</v>
      </c>
      <c r="R33" s="389">
        <v>3.2850820770124147</v>
      </c>
      <c r="S33" s="389">
        <v>101.61006399999999</v>
      </c>
      <c r="T33" s="388">
        <v>0.11541607548961023</v>
      </c>
      <c r="U33" s="388">
        <v>8.5459547849800532E-2</v>
      </c>
      <c r="V33" s="388">
        <v>5.8218153561893971E-2</v>
      </c>
      <c r="W33" s="388">
        <v>1.0035725602025816</v>
      </c>
      <c r="X33" s="388">
        <v>0.11446693234757239</v>
      </c>
      <c r="Y33" s="388">
        <v>0.46539266258915829</v>
      </c>
      <c r="Z33" s="388">
        <v>0.46539266258915823</v>
      </c>
    </row>
    <row r="34" spans="1:26" s="322" customFormat="1" ht="13">
      <c r="A34" s="386" t="s">
        <v>545</v>
      </c>
      <c r="B34" s="387">
        <v>412</v>
      </c>
      <c r="C34" s="388">
        <v>9.867820896E-2</v>
      </c>
      <c r="D34" s="388">
        <v>5.6576996072202707E-2</v>
      </c>
      <c r="E34" s="388">
        <v>6.9277602284008005E-2</v>
      </c>
      <c r="F34" s="388">
        <v>0.23591260222206883</v>
      </c>
      <c r="G34" s="389">
        <v>0.69377848049854074</v>
      </c>
      <c r="H34" s="389">
        <v>0.892977523</v>
      </c>
      <c r="I34" s="388">
        <v>7.9464606425999992E-2</v>
      </c>
      <c r="J34" s="388">
        <v>0.34478894900000001</v>
      </c>
      <c r="K34" s="388">
        <v>4.6100000000000002E-2</v>
      </c>
      <c r="L34" s="388">
        <v>0.33375394788797874</v>
      </c>
      <c r="M34" s="388">
        <v>6.4539451473076159E-2</v>
      </c>
      <c r="N34" s="389">
        <v>1.4133423060224697</v>
      </c>
      <c r="O34" s="389">
        <v>1.1962791780618296</v>
      </c>
      <c r="P34" s="389">
        <v>13.072775418353345</v>
      </c>
      <c r="Q34" s="389">
        <v>20.676359298311745</v>
      </c>
      <c r="R34" s="389">
        <v>1.9266081356807774</v>
      </c>
      <c r="S34" s="389">
        <v>51.721074819999998</v>
      </c>
      <c r="T34" s="388">
        <v>0.14962038056082319</v>
      </c>
      <c r="U34" s="388">
        <v>4.4727443712153425E-2</v>
      </c>
      <c r="V34" s="388">
        <v>2.6265032917084583E-2</v>
      </c>
      <c r="W34" s="388">
        <v>0.86770007592344622</v>
      </c>
      <c r="X34" s="388">
        <v>0.10325977500220453</v>
      </c>
      <c r="Y34" s="388">
        <v>0.37536594852051691</v>
      </c>
      <c r="Z34" s="388">
        <v>0.37536594852051697</v>
      </c>
    </row>
    <row r="35" spans="1:26" s="322" customFormat="1" ht="13">
      <c r="A35" s="386" t="s">
        <v>546</v>
      </c>
      <c r="B35" s="387">
        <v>1030</v>
      </c>
      <c r="C35" s="388">
        <v>0.15422724039999999</v>
      </c>
      <c r="D35" s="388">
        <v>7.5319879118499411E-2</v>
      </c>
      <c r="E35" s="388">
        <v>4.005614591831603E-3</v>
      </c>
      <c r="F35" s="388">
        <v>0.23833539259218697</v>
      </c>
      <c r="G35" s="389">
        <v>0.15451673444741151</v>
      </c>
      <c r="H35" s="389">
        <v>0.82153055600000002</v>
      </c>
      <c r="I35" s="388">
        <v>7.5034894471999999E-2</v>
      </c>
      <c r="J35" s="388">
        <v>0.35975774500000002</v>
      </c>
      <c r="K35" s="388">
        <v>4.6100000000000002E-2</v>
      </c>
      <c r="L35" s="388">
        <v>0.86428902191207724</v>
      </c>
      <c r="M35" s="388">
        <v>4.0213273630596805E-2</v>
      </c>
      <c r="N35" s="389">
        <v>6.4822494870527617E-2</v>
      </c>
      <c r="O35" s="389">
        <v>16.263259877768981</v>
      </c>
      <c r="P35" s="389">
        <v>148.89309688173907</v>
      </c>
      <c r="Q35" s="389" t="s">
        <v>100</v>
      </c>
      <c r="R35" s="389">
        <v>1.4647869294449203</v>
      </c>
      <c r="S35" s="389">
        <v>125.5874652</v>
      </c>
      <c r="T35" s="388" t="s">
        <v>100</v>
      </c>
      <c r="U35" s="388">
        <v>7.266434776249299E-2</v>
      </c>
      <c r="V35" s="388">
        <v>0.10179956229296427</v>
      </c>
      <c r="W35" s="388">
        <v>2.0594356197310142</v>
      </c>
      <c r="X35" s="388">
        <v>0.20806048492580637</v>
      </c>
      <c r="Y35" s="388">
        <v>0.22777488083880837</v>
      </c>
      <c r="Z35" s="388">
        <v>0.22777488083880837</v>
      </c>
    </row>
    <row r="36" spans="1:26" s="322" customFormat="1" ht="13">
      <c r="A36" s="386" t="s">
        <v>547</v>
      </c>
      <c r="B36" s="387">
        <v>1270</v>
      </c>
      <c r="C36" s="388">
        <v>7.0481740090000009E-2</v>
      </c>
      <c r="D36" s="388">
        <v>9.0820500141065005E-2</v>
      </c>
      <c r="E36" s="388">
        <v>0.13989930257921945</v>
      </c>
      <c r="F36" s="388">
        <v>0.25263433908405741</v>
      </c>
      <c r="G36" s="389">
        <v>0.71579535383065596</v>
      </c>
      <c r="H36" s="389">
        <v>0.81145831000000002</v>
      </c>
      <c r="I36" s="388">
        <v>7.4410415219999998E-2</v>
      </c>
      <c r="J36" s="388">
        <v>0.33814143200000002</v>
      </c>
      <c r="K36" s="388">
        <v>4.6100000000000002E-2</v>
      </c>
      <c r="L36" s="388">
        <v>0.19902637231883274</v>
      </c>
      <c r="M36" s="388">
        <v>6.6516064967275398E-2</v>
      </c>
      <c r="N36" s="389">
        <v>1.8505349276407941</v>
      </c>
      <c r="O36" s="389">
        <v>1.6893593057322664</v>
      </c>
      <c r="P36" s="389">
        <v>13.014760971858811</v>
      </c>
      <c r="Q36" s="389">
        <v>18.414349213726556</v>
      </c>
      <c r="R36" s="389">
        <v>2.7746217987889397</v>
      </c>
      <c r="S36" s="389">
        <v>45.324205110000001</v>
      </c>
      <c r="T36" s="388">
        <v>0.10516463505071613</v>
      </c>
      <c r="U36" s="388">
        <v>4.3342694569062673E-2</v>
      </c>
      <c r="V36" s="388">
        <v>4.7397084355868424E-2</v>
      </c>
      <c r="W36" s="388">
        <v>0.73073229963597019</v>
      </c>
      <c r="X36" s="388">
        <v>0.12153582316012693</v>
      </c>
      <c r="Y36" s="388">
        <v>0.51948815840836271</v>
      </c>
      <c r="Z36" s="388">
        <v>0.51948815840836271</v>
      </c>
    </row>
    <row r="37" spans="1:26" s="322" customFormat="1" ht="13">
      <c r="A37" s="386" t="s">
        <v>548</v>
      </c>
      <c r="B37" s="387">
        <v>148</v>
      </c>
      <c r="C37" s="388">
        <v>0.14294787879999998</v>
      </c>
      <c r="D37" s="388">
        <v>2.7067221625760848E-2</v>
      </c>
      <c r="E37" s="388">
        <v>0.12400115996114218</v>
      </c>
      <c r="F37" s="388">
        <v>0.28418668294110827</v>
      </c>
      <c r="G37" s="389">
        <v>0.62205489786560286</v>
      </c>
      <c r="H37" s="389">
        <v>0.83599654400000001</v>
      </c>
      <c r="I37" s="388">
        <v>7.5931785727999995E-2</v>
      </c>
      <c r="J37" s="388">
        <v>0.33439174599999999</v>
      </c>
      <c r="K37" s="388">
        <v>4.6100000000000002E-2</v>
      </c>
      <c r="L37" s="388">
        <v>0.37286172255238814</v>
      </c>
      <c r="M37" s="388">
        <v>6.0575022386243654E-2</v>
      </c>
      <c r="N37" s="389">
        <v>5.6051001134187812</v>
      </c>
      <c r="O37" s="389">
        <v>0.46103731062214776</v>
      </c>
      <c r="P37" s="389">
        <v>10.426627497834218</v>
      </c>
      <c r="Q37" s="389">
        <v>16.923604452934317</v>
      </c>
      <c r="R37" s="389">
        <v>1.9398315702411579</v>
      </c>
      <c r="S37" s="389">
        <v>62.931947100000002</v>
      </c>
      <c r="T37" s="388">
        <v>4.7379143698094719E-2</v>
      </c>
      <c r="U37" s="388">
        <v>1.4744315297400494E-2</v>
      </c>
      <c r="V37" s="388">
        <v>8.3061733694754624E-3</v>
      </c>
      <c r="W37" s="388">
        <v>0.27980282010804758</v>
      </c>
      <c r="X37" s="388">
        <v>0.10535440087777732</v>
      </c>
      <c r="Y37" s="388">
        <v>0.47431948064603929</v>
      </c>
      <c r="Z37" s="388">
        <v>0.47431948064603935</v>
      </c>
    </row>
    <row r="38" spans="1:26" s="322" customFormat="1" ht="13">
      <c r="A38" s="386" t="s">
        <v>549</v>
      </c>
      <c r="B38" s="387">
        <v>316</v>
      </c>
      <c r="C38" s="388">
        <v>6.9436680850000002E-2</v>
      </c>
      <c r="D38" s="388">
        <v>8.2028773480244579E-2</v>
      </c>
      <c r="E38" s="388">
        <v>0.19261614563960494</v>
      </c>
      <c r="F38" s="388">
        <v>0.18029651965582616</v>
      </c>
      <c r="G38" s="389">
        <v>0.93378536879610186</v>
      </c>
      <c r="H38" s="389">
        <v>0.96238829800000003</v>
      </c>
      <c r="I38" s="388">
        <v>8.3768074476000001E-2</v>
      </c>
      <c r="J38" s="388">
        <v>0.33398846100000001</v>
      </c>
      <c r="K38" s="388">
        <v>4.6100000000000002E-2</v>
      </c>
      <c r="L38" s="388">
        <v>0.17683583878706183</v>
      </c>
      <c r="M38" s="388">
        <v>7.5099138777544039E-2</v>
      </c>
      <c r="N38" s="389">
        <v>2.8061740554599899</v>
      </c>
      <c r="O38" s="389">
        <v>1.4083415543454954</v>
      </c>
      <c r="P38" s="389">
        <v>11.946024183213755</v>
      </c>
      <c r="Q38" s="389">
        <v>17.28395230841258</v>
      </c>
      <c r="R38" s="389">
        <v>2.8403087903913846</v>
      </c>
      <c r="S38" s="389">
        <v>58.122269160000002</v>
      </c>
      <c r="T38" s="388">
        <v>8.0483992978845689E-2</v>
      </c>
      <c r="U38" s="388">
        <v>3.3801953185629049E-2</v>
      </c>
      <c r="V38" s="388">
        <v>6.0377212196331333E-2</v>
      </c>
      <c r="W38" s="388">
        <v>0.86198829758712259</v>
      </c>
      <c r="X38" s="388">
        <v>0.20831533238145936</v>
      </c>
      <c r="Y38" s="388">
        <v>0.4051392897783242</v>
      </c>
      <c r="Z38" s="388">
        <v>0.40513928977832414</v>
      </c>
    </row>
    <row r="39" spans="1:26" s="322" customFormat="1" ht="13">
      <c r="A39" s="386" t="s">
        <v>550</v>
      </c>
      <c r="B39" s="387">
        <v>181</v>
      </c>
      <c r="C39" s="388">
        <v>9.2931325299999992E-2</v>
      </c>
      <c r="D39" s="388">
        <v>0.35860917355289745</v>
      </c>
      <c r="E39" s="388">
        <v>7.4601522765054551E-2</v>
      </c>
      <c r="F39" s="388">
        <v>0.1745338048821872</v>
      </c>
      <c r="G39" s="389">
        <v>0.75692622224627004</v>
      </c>
      <c r="H39" s="389">
        <v>1.1532018829999999</v>
      </c>
      <c r="I39" s="388">
        <v>9.5598516745999992E-2</v>
      </c>
      <c r="J39" s="388">
        <v>0.38077028499999999</v>
      </c>
      <c r="K39" s="388">
        <v>4.6100000000000002E-2</v>
      </c>
      <c r="L39" s="388">
        <v>0.43565934031000231</v>
      </c>
      <c r="M39" s="388">
        <v>6.9087362110717934E-2</v>
      </c>
      <c r="N39" s="389">
        <v>0.23219697316723872</v>
      </c>
      <c r="O39" s="389">
        <v>7.369379479743789</v>
      </c>
      <c r="P39" s="389">
        <v>11.714658405992576</v>
      </c>
      <c r="Q39" s="389">
        <v>20.349804033740327</v>
      </c>
      <c r="R39" s="389">
        <v>1.6482534012962449</v>
      </c>
      <c r="S39" s="389">
        <v>90.272412579999994</v>
      </c>
      <c r="T39" s="388">
        <v>-6.5779937941683381E-2</v>
      </c>
      <c r="U39" s="388">
        <v>0.30266328366417317</v>
      </c>
      <c r="V39" s="388">
        <v>0.10858288331297071</v>
      </c>
      <c r="W39" s="388">
        <v>0.46268433158958217</v>
      </c>
      <c r="X39" s="388">
        <v>0.10119998477310525</v>
      </c>
      <c r="Y39" s="388">
        <v>0.90617977937778837</v>
      </c>
      <c r="Z39" s="388">
        <v>0.90617977937778837</v>
      </c>
    </row>
    <row r="40" spans="1:26" s="322" customFormat="1" ht="13">
      <c r="A40" s="386" t="s">
        <v>551</v>
      </c>
      <c r="B40" s="387">
        <v>696</v>
      </c>
      <c r="C40" s="388">
        <v>0.11558816220000001</v>
      </c>
      <c r="D40" s="388">
        <v>0.1537987727568696</v>
      </c>
      <c r="E40" s="388">
        <v>0.1529081621599061</v>
      </c>
      <c r="F40" s="388">
        <v>0.17178643193902202</v>
      </c>
      <c r="G40" s="389">
        <v>1.0028759926505333</v>
      </c>
      <c r="H40" s="389">
        <v>1.06541712</v>
      </c>
      <c r="I40" s="388">
        <v>9.0155861439999999E-2</v>
      </c>
      <c r="J40" s="388">
        <v>0.49924052499999999</v>
      </c>
      <c r="K40" s="388">
        <v>4.9099999999999998E-2</v>
      </c>
      <c r="L40" s="388">
        <v>0.13878614007396806</v>
      </c>
      <c r="M40" s="388">
        <v>8.2779490311990014E-2</v>
      </c>
      <c r="N40" s="389">
        <v>1.0764192323927073</v>
      </c>
      <c r="O40" s="389">
        <v>4.095408404944676</v>
      </c>
      <c r="P40" s="389">
        <v>17.205300470422845</v>
      </c>
      <c r="Q40" s="389">
        <v>26.706785343104613</v>
      </c>
      <c r="R40" s="389">
        <v>3.6683100905300945</v>
      </c>
      <c r="S40" s="389">
        <v>63.82263974</v>
      </c>
      <c r="T40" s="388">
        <v>0.2477777897283151</v>
      </c>
      <c r="U40" s="388">
        <v>4.6944498346942642E-2</v>
      </c>
      <c r="V40" s="388">
        <v>9.3296507852731664E-2</v>
      </c>
      <c r="W40" s="388">
        <v>0.85658237450955732</v>
      </c>
      <c r="X40" s="388">
        <v>0.10693927201535774</v>
      </c>
      <c r="Y40" s="388">
        <v>0.39859501484478521</v>
      </c>
      <c r="Z40" s="388">
        <v>0.39859501484478521</v>
      </c>
    </row>
    <row r="41" spans="1:26" s="322" customFormat="1" ht="13">
      <c r="A41" s="386" t="s">
        <v>552</v>
      </c>
      <c r="B41" s="387">
        <v>355</v>
      </c>
      <c r="C41" s="388">
        <v>0.15546896229999999</v>
      </c>
      <c r="D41" s="388">
        <v>4.8484759218304641E-2</v>
      </c>
      <c r="E41" s="388">
        <v>0.35179232593758425</v>
      </c>
      <c r="F41" s="388">
        <v>0.30692402212223485</v>
      </c>
      <c r="G41" s="389">
        <v>0.87129941973234892</v>
      </c>
      <c r="H41" s="389">
        <v>0.96165592300000002</v>
      </c>
      <c r="I41" s="388">
        <v>8.3722667225999997E-2</v>
      </c>
      <c r="J41" s="388">
        <v>0.42386232200000001</v>
      </c>
      <c r="K41" s="388">
        <v>4.9099999999999998E-2</v>
      </c>
      <c r="L41" s="388">
        <v>0.20926034244207806</v>
      </c>
      <c r="M41" s="388">
        <v>7.394686164896408E-2</v>
      </c>
      <c r="N41" s="389">
        <v>8.7697239688674564</v>
      </c>
      <c r="O41" s="389">
        <v>0.69061482457928058</v>
      </c>
      <c r="P41" s="389">
        <v>10.972641368941881</v>
      </c>
      <c r="Q41" s="389">
        <v>14.07954968869606</v>
      </c>
      <c r="R41" s="389">
        <v>2.8979127843491006</v>
      </c>
      <c r="S41" s="389">
        <v>84.723023699999999</v>
      </c>
      <c r="T41" s="388">
        <v>-1.8492768789414089E-2</v>
      </c>
      <c r="U41" s="388">
        <v>9.8100741116319834E-3</v>
      </c>
      <c r="V41" s="388">
        <v>1.9673114479636277E-2</v>
      </c>
      <c r="W41" s="388">
        <v>0.67729169430485614</v>
      </c>
      <c r="X41" s="388">
        <v>0.14756030888450825</v>
      </c>
      <c r="Y41" s="388">
        <v>0.25671207411405539</v>
      </c>
      <c r="Z41" s="388">
        <v>0.25671207411405539</v>
      </c>
    </row>
    <row r="42" spans="1:26" s="322" customFormat="1" ht="13">
      <c r="A42" s="386" t="s">
        <v>553</v>
      </c>
      <c r="B42" s="387">
        <v>339</v>
      </c>
      <c r="C42" s="388">
        <v>0.1074004375</v>
      </c>
      <c r="D42" s="388">
        <v>0.13443546509450099</v>
      </c>
      <c r="E42" s="388">
        <v>0.15181850581478129</v>
      </c>
      <c r="F42" s="388">
        <v>0.19103583157764961</v>
      </c>
      <c r="G42" s="389">
        <v>0.98161343963484993</v>
      </c>
      <c r="H42" s="389">
        <v>1.0494312589999999</v>
      </c>
      <c r="I42" s="388">
        <v>8.9164738057999987E-2</v>
      </c>
      <c r="J42" s="388">
        <v>0.50375335700000001</v>
      </c>
      <c r="K42" s="388">
        <v>4.9099999999999998E-2</v>
      </c>
      <c r="L42" s="388">
        <v>0.13254842887431559</v>
      </c>
      <c r="M42" s="388">
        <v>8.2251268083792461E-2</v>
      </c>
      <c r="N42" s="389">
        <v>1.2182513927746341</v>
      </c>
      <c r="O42" s="389">
        <v>5.0505018243924225</v>
      </c>
      <c r="P42" s="389">
        <v>21.646145466951026</v>
      </c>
      <c r="Q42" s="389">
        <v>37.422665162259385</v>
      </c>
      <c r="R42" s="389">
        <v>4.4253187010982096</v>
      </c>
      <c r="S42" s="389">
        <v>124.8769532</v>
      </c>
      <c r="T42" s="388">
        <v>0.19611999025547192</v>
      </c>
      <c r="U42" s="388">
        <v>5.1486475438465018E-2</v>
      </c>
      <c r="V42" s="388">
        <v>0.10676236444431553</v>
      </c>
      <c r="W42" s="388">
        <v>1.2174825272225189</v>
      </c>
      <c r="X42" s="388">
        <v>0.10068192668958324</v>
      </c>
      <c r="Y42" s="388">
        <v>0.1698112911553474</v>
      </c>
      <c r="Z42" s="388">
        <v>0.16981129115534743</v>
      </c>
    </row>
    <row r="43" spans="1:26" s="322" customFormat="1" ht="13">
      <c r="A43" s="386" t="s">
        <v>554</v>
      </c>
      <c r="B43" s="387">
        <v>171</v>
      </c>
      <c r="C43" s="388">
        <v>8.7730325199999987E-2</v>
      </c>
      <c r="D43" s="388">
        <v>9.5126570873847641E-2</v>
      </c>
      <c r="E43" s="388">
        <v>9.5429848753023613E-2</v>
      </c>
      <c r="F43" s="388">
        <v>0.28282489349423834</v>
      </c>
      <c r="G43" s="389">
        <v>0.9299991939598784</v>
      </c>
      <c r="H43" s="389">
        <v>1.101658185</v>
      </c>
      <c r="I43" s="388">
        <v>9.2402807470000001E-2</v>
      </c>
      <c r="J43" s="388">
        <v>0.38660009400000001</v>
      </c>
      <c r="K43" s="388">
        <v>4.6100000000000002E-2</v>
      </c>
      <c r="L43" s="388">
        <v>0.28210407420004385</v>
      </c>
      <c r="M43" s="388">
        <v>7.6137465872593582E-2</v>
      </c>
      <c r="N43" s="389">
        <v>1.281647952317758</v>
      </c>
      <c r="O43" s="389">
        <v>1.3387558683028058</v>
      </c>
      <c r="P43" s="389">
        <v>10.285106383055217</v>
      </c>
      <c r="Q43" s="389">
        <v>13.487833580814492</v>
      </c>
      <c r="R43" s="389">
        <v>1.8605681352388093</v>
      </c>
      <c r="S43" s="389">
        <v>17.633849640000001</v>
      </c>
      <c r="T43" s="388">
        <v>0.61977343566293752</v>
      </c>
      <c r="U43" s="388">
        <v>9.3982576025822689E-3</v>
      </c>
      <c r="V43" s="388">
        <v>1.3238244222822947E-2</v>
      </c>
      <c r="W43" s="388">
        <v>0.51927600495452375</v>
      </c>
      <c r="X43" s="388">
        <v>0.1244795950033596</v>
      </c>
      <c r="Y43" s="388">
        <v>0.23035655737819608</v>
      </c>
      <c r="Z43" s="388">
        <v>0.23035655737819605</v>
      </c>
    </row>
    <row r="44" spans="1:26" s="322" customFormat="1" ht="13">
      <c r="A44" s="386" t="s">
        <v>555</v>
      </c>
      <c r="B44" s="387">
        <v>198</v>
      </c>
      <c r="C44" s="388">
        <v>8.4660983610000004E-2</v>
      </c>
      <c r="D44" s="388">
        <v>8.2482170580524095E-2</v>
      </c>
      <c r="E44" s="388">
        <v>8.3770217334061842E-2</v>
      </c>
      <c r="F44" s="388">
        <v>0.25253568785219571</v>
      </c>
      <c r="G44" s="389">
        <v>0.57742347814781503</v>
      </c>
      <c r="H44" s="389">
        <v>0.90346766199999995</v>
      </c>
      <c r="I44" s="388">
        <v>8.0114995043999992E-2</v>
      </c>
      <c r="J44" s="388">
        <v>0.37722668399999998</v>
      </c>
      <c r="K44" s="388">
        <v>4.6100000000000002E-2</v>
      </c>
      <c r="L44" s="388">
        <v>0.44694043651902077</v>
      </c>
      <c r="M44" s="388">
        <v>5.983756441021764E-2</v>
      </c>
      <c r="N44" s="389">
        <v>1.2124575204631372</v>
      </c>
      <c r="O44" s="389">
        <v>1.9052754704032746</v>
      </c>
      <c r="P44" s="389">
        <v>11.254808969430869</v>
      </c>
      <c r="Q44" s="389">
        <v>22.984653159476832</v>
      </c>
      <c r="R44" s="389">
        <v>3.1073030233122392</v>
      </c>
      <c r="S44" s="389">
        <v>45.747418490000001</v>
      </c>
      <c r="T44" s="388">
        <v>7.7966365948853852E-2</v>
      </c>
      <c r="U44" s="388">
        <v>6.1837848601912361E-2</v>
      </c>
      <c r="V44" s="388">
        <v>4.4246779609459254E-2</v>
      </c>
      <c r="W44" s="388">
        <v>1.2787702427467431</v>
      </c>
      <c r="X44" s="388">
        <v>0.10176820879725033</v>
      </c>
      <c r="Y44" s="388">
        <v>0.46446484565255391</v>
      </c>
      <c r="Z44" s="388">
        <v>0.46446484565255397</v>
      </c>
    </row>
    <row r="45" spans="1:26" s="322" customFormat="1" ht="13">
      <c r="A45" s="386" t="s">
        <v>556</v>
      </c>
      <c r="B45" s="387">
        <v>658</v>
      </c>
      <c r="C45" s="388">
        <v>0.14181576670000001</v>
      </c>
      <c r="D45" s="388">
        <v>0.13635386360719678</v>
      </c>
      <c r="E45" s="388">
        <v>9.15369472796905E-2</v>
      </c>
      <c r="F45" s="388">
        <v>0.1733231938821419</v>
      </c>
      <c r="G45" s="389">
        <v>0.82742904606306478</v>
      </c>
      <c r="H45" s="389">
        <v>0.98355787900000002</v>
      </c>
      <c r="I45" s="388">
        <v>8.5080588498000001E-2</v>
      </c>
      <c r="J45" s="388">
        <v>0.35258838599999998</v>
      </c>
      <c r="K45" s="388">
        <v>4.6100000000000002E-2</v>
      </c>
      <c r="L45" s="388">
        <v>0.26198534474515783</v>
      </c>
      <c r="M45" s="388">
        <v>7.1893551324047567E-2</v>
      </c>
      <c r="N45" s="389">
        <v>0.77897468525635261</v>
      </c>
      <c r="O45" s="389">
        <v>3.1409587767791867</v>
      </c>
      <c r="P45" s="389">
        <v>13.228744921906634</v>
      </c>
      <c r="Q45" s="389">
        <v>22.751060179389558</v>
      </c>
      <c r="R45" s="389">
        <v>2.6807234688866068</v>
      </c>
      <c r="S45" s="389">
        <v>152.9703312</v>
      </c>
      <c r="T45" s="388">
        <v>-2.448979758315243E-2</v>
      </c>
      <c r="U45" s="388">
        <v>8.9040178776275167E-2</v>
      </c>
      <c r="V45" s="388">
        <v>3.2524671833923692E-2</v>
      </c>
      <c r="W45" s="388">
        <v>0.28251032996745762</v>
      </c>
      <c r="X45" s="388">
        <v>9.5240491146112591E-2</v>
      </c>
      <c r="Y45" s="388">
        <v>0.55861898241404839</v>
      </c>
      <c r="Z45" s="388">
        <v>0.55861898241404839</v>
      </c>
    </row>
    <row r="46" spans="1:26" s="322" customFormat="1" ht="13">
      <c r="A46" s="386" t="s">
        <v>557</v>
      </c>
      <c r="B46" s="387">
        <v>531</v>
      </c>
      <c r="C46" s="388">
        <v>8.9879793810000011E-2</v>
      </c>
      <c r="D46" s="388">
        <v>0.15741545201230159</v>
      </c>
      <c r="E46" s="388">
        <v>0.28525341257537057</v>
      </c>
      <c r="F46" s="388">
        <v>0.27032516118862987</v>
      </c>
      <c r="G46" s="389">
        <v>0.91165924308156154</v>
      </c>
      <c r="H46" s="389">
        <v>0.98004145399999998</v>
      </c>
      <c r="I46" s="388">
        <v>8.4862570147999999E-2</v>
      </c>
      <c r="J46" s="388">
        <v>0.39931655999999999</v>
      </c>
      <c r="K46" s="388">
        <v>4.6100000000000002E-2</v>
      </c>
      <c r="L46" s="388">
        <v>0.12990314705272821</v>
      </c>
      <c r="M46" s="388">
        <v>7.8352214107932749E-2</v>
      </c>
      <c r="N46" s="389">
        <v>2.125895914814361</v>
      </c>
      <c r="O46" s="389">
        <v>3.0707119027738474</v>
      </c>
      <c r="P46" s="389">
        <v>16.235448565963221</v>
      </c>
      <c r="Q46" s="389">
        <v>19.500687545876669</v>
      </c>
      <c r="R46" s="389">
        <v>5.4082641920317425</v>
      </c>
      <c r="S46" s="389">
        <v>61.998946490000002</v>
      </c>
      <c r="T46" s="388">
        <v>7.0155916359990508E-2</v>
      </c>
      <c r="U46" s="388">
        <v>3.9436069699608813E-2</v>
      </c>
      <c r="V46" s="388">
        <v>8.5448531956555468E-2</v>
      </c>
      <c r="W46" s="388">
        <v>0.77351882392869786</v>
      </c>
      <c r="X46" s="388">
        <v>0.25254019035182357</v>
      </c>
      <c r="Y46" s="388">
        <v>0.48712037467272468</v>
      </c>
      <c r="Z46" s="388">
        <v>0.48712037467272462</v>
      </c>
    </row>
    <row r="47" spans="1:26" s="322" customFormat="1" ht="13">
      <c r="A47" s="386" t="s">
        <v>558</v>
      </c>
      <c r="B47" s="387">
        <v>193</v>
      </c>
      <c r="C47" s="388">
        <v>0.12530553720000001</v>
      </c>
      <c r="D47" s="388">
        <v>0.24079706460639169</v>
      </c>
      <c r="E47" s="388">
        <v>0.3147510206394874</v>
      </c>
      <c r="F47" s="388">
        <v>0.31355400628652691</v>
      </c>
      <c r="G47" s="389">
        <v>1.2339627923157546</v>
      </c>
      <c r="H47" s="389">
        <v>1.3163519159999999</v>
      </c>
      <c r="I47" s="388">
        <v>0.10571381879199999</v>
      </c>
      <c r="J47" s="388">
        <v>0.406628451</v>
      </c>
      <c r="K47" s="388">
        <v>4.9099999999999998E-2</v>
      </c>
      <c r="L47" s="388">
        <v>0.13353934290368227</v>
      </c>
      <c r="M47" s="388">
        <v>9.6538711289530788E-2</v>
      </c>
      <c r="N47" s="389">
        <v>1.5754564662470825</v>
      </c>
      <c r="O47" s="389">
        <v>5.6441258608309548</v>
      </c>
      <c r="P47" s="389">
        <v>18.343822191454521</v>
      </c>
      <c r="Q47" s="389">
        <v>23.200277324192591</v>
      </c>
      <c r="R47" s="389">
        <v>7.138616579538084</v>
      </c>
      <c r="S47" s="389">
        <v>43.910178909999999</v>
      </c>
      <c r="T47" s="388">
        <v>-2.7375444792850371E-2</v>
      </c>
      <c r="U47" s="388">
        <v>3.2072163965335021E-2</v>
      </c>
      <c r="V47" s="388">
        <v>1.3826922401319507E-2</v>
      </c>
      <c r="W47" s="388">
        <v>0.14377269007573948</v>
      </c>
      <c r="X47" s="388">
        <v>0.20973428142607325</v>
      </c>
      <c r="Y47" s="388">
        <v>0.28052686311417918</v>
      </c>
      <c r="Z47" s="388">
        <v>0.28052686311417918</v>
      </c>
    </row>
    <row r="48" spans="1:26" s="322" customFormat="1" ht="13">
      <c r="A48" s="386" t="s">
        <v>559</v>
      </c>
      <c r="B48" s="387">
        <v>220</v>
      </c>
      <c r="C48" s="388">
        <v>8.922049080000001E-2</v>
      </c>
      <c r="D48" s="388">
        <v>7.9220747150232973E-2</v>
      </c>
      <c r="E48" s="388">
        <v>9.9633955764100585E-2</v>
      </c>
      <c r="F48" s="388">
        <v>0.24713559169822694</v>
      </c>
      <c r="G48" s="389">
        <v>0.71651423125831359</v>
      </c>
      <c r="H48" s="389">
        <v>0.78222791199999997</v>
      </c>
      <c r="I48" s="388">
        <v>7.2598130543999995E-2</v>
      </c>
      <c r="J48" s="388">
        <v>0.27384119000000001</v>
      </c>
      <c r="K48" s="388">
        <v>4.6100000000000002E-2</v>
      </c>
      <c r="L48" s="388">
        <v>0.29216996507588772</v>
      </c>
      <c r="M48" s="388">
        <v>6.1538749251826591E-2</v>
      </c>
      <c r="N48" s="389">
        <v>1.4927787668553738</v>
      </c>
      <c r="O48" s="389">
        <v>0.97129632713237291</v>
      </c>
      <c r="P48" s="389">
        <v>9.906561585992522</v>
      </c>
      <c r="Q48" s="389">
        <v>11.964972006718851</v>
      </c>
      <c r="R48" s="389">
        <v>1.25780816254272</v>
      </c>
      <c r="S48" s="389">
        <v>24.699441650000001</v>
      </c>
      <c r="T48" s="388">
        <v>-4.6515849162063624E-2</v>
      </c>
      <c r="U48" s="388">
        <v>8.3558093176246909E-3</v>
      </c>
      <c r="V48" s="388">
        <v>6.2244509260866599E-3</v>
      </c>
      <c r="W48" s="388">
        <v>0.23105808934851027</v>
      </c>
      <c r="X48" s="388">
        <v>7.7459737596977107E-2</v>
      </c>
      <c r="Y48" s="388">
        <v>0.50574221625648774</v>
      </c>
      <c r="Z48" s="388">
        <v>0.50574221625648774</v>
      </c>
    </row>
    <row r="49" spans="1:26" s="322" customFormat="1" ht="13">
      <c r="A49" s="386" t="s">
        <v>560</v>
      </c>
      <c r="B49" s="387">
        <v>128</v>
      </c>
      <c r="C49" s="388">
        <v>6.9113695650000001E-2</v>
      </c>
      <c r="D49" s="388">
        <v>8.2864471402283826E-2</v>
      </c>
      <c r="E49" s="388">
        <v>0.10967835238912826</v>
      </c>
      <c r="F49" s="388">
        <v>0.24023493876630544</v>
      </c>
      <c r="G49" s="389">
        <v>0.9960123500408945</v>
      </c>
      <c r="H49" s="389">
        <v>0.99617298600000004</v>
      </c>
      <c r="I49" s="388">
        <v>8.5862725131999995E-2</v>
      </c>
      <c r="J49" s="388">
        <v>0.27745576</v>
      </c>
      <c r="K49" s="388">
        <v>4.6100000000000002E-2</v>
      </c>
      <c r="L49" s="388">
        <v>0.41091898420239731</v>
      </c>
      <c r="M49" s="388">
        <v>6.4857715669842192E-2</v>
      </c>
      <c r="N49" s="389">
        <v>1.5764703857035389</v>
      </c>
      <c r="O49" s="389">
        <v>0.95193279572120348</v>
      </c>
      <c r="P49" s="389">
        <v>9.4262760768748066</v>
      </c>
      <c r="Q49" s="389">
        <v>10.488666963815241</v>
      </c>
      <c r="R49" s="389">
        <v>1.2594445273738808</v>
      </c>
      <c r="S49" s="389">
        <v>53.339068769999997</v>
      </c>
      <c r="T49" s="388">
        <v>-0.96528779644169727</v>
      </c>
      <c r="U49" s="388">
        <v>6.4133184654100233E-3</v>
      </c>
      <c r="V49" s="388">
        <v>4.5247980813214071E-3</v>
      </c>
      <c r="W49" s="388">
        <v>0.12865380520161654</v>
      </c>
      <c r="X49" s="388">
        <v>7.8175288651923802E-2</v>
      </c>
      <c r="Y49" s="388">
        <v>0.41085160325098774</v>
      </c>
      <c r="Z49" s="388">
        <v>0.41085160325098768</v>
      </c>
    </row>
    <row r="50" spans="1:26" s="322" customFormat="1" ht="13">
      <c r="A50" s="386" t="s">
        <v>561</v>
      </c>
      <c r="B50" s="387">
        <v>225</v>
      </c>
      <c r="C50" s="388">
        <v>6.9751058820000003E-2</v>
      </c>
      <c r="D50" s="388">
        <v>8.1985199348669435E-2</v>
      </c>
      <c r="E50" s="388">
        <v>9.2394595136226096E-2</v>
      </c>
      <c r="F50" s="388">
        <v>0.23227637099880388</v>
      </c>
      <c r="G50" s="389">
        <v>0.63943550187755971</v>
      </c>
      <c r="H50" s="389">
        <v>0.69606138799999995</v>
      </c>
      <c r="I50" s="388">
        <v>6.7255806055999998E-2</v>
      </c>
      <c r="J50" s="388">
        <v>0.30647296699999999</v>
      </c>
      <c r="K50" s="388">
        <v>4.6100000000000002E-2</v>
      </c>
      <c r="L50" s="388">
        <v>0.20987145079352243</v>
      </c>
      <c r="M50" s="388">
        <v>6.0432835649287399E-2</v>
      </c>
      <c r="N50" s="389">
        <v>1.3580985835854387</v>
      </c>
      <c r="O50" s="389">
        <v>1.1279729969509258</v>
      </c>
      <c r="P50" s="389">
        <v>11.109653048286571</v>
      </c>
      <c r="Q50" s="389">
        <v>13.263332585088978</v>
      </c>
      <c r="R50" s="389">
        <v>1.3890750477856317</v>
      </c>
      <c r="S50" s="389">
        <v>27.507668420000002</v>
      </c>
      <c r="T50" s="388">
        <v>-0.36198392216062486</v>
      </c>
      <c r="U50" s="388">
        <v>5.8511962399477912E-3</v>
      </c>
      <c r="V50" s="388">
        <v>5.380003929437909E-3</v>
      </c>
      <c r="W50" s="388">
        <v>0.29532331229927222</v>
      </c>
      <c r="X50" s="388">
        <v>8.3338369507323456E-2</v>
      </c>
      <c r="Y50" s="388">
        <v>0.40358402045246489</v>
      </c>
      <c r="Z50" s="388">
        <v>0.40358402045246489</v>
      </c>
    </row>
    <row r="51" spans="1:26" s="322" customFormat="1" ht="13">
      <c r="A51" s="386" t="s">
        <v>562</v>
      </c>
      <c r="B51" s="387">
        <v>1065</v>
      </c>
      <c r="C51" s="388">
        <v>0.12686074</v>
      </c>
      <c r="D51" s="388">
        <v>0.19267936314038919</v>
      </c>
      <c r="E51" s="388">
        <v>7.0469284808017146E-2</v>
      </c>
      <c r="F51" s="388">
        <v>0.20628335467552741</v>
      </c>
      <c r="G51" s="389">
        <v>0.6568245976473156</v>
      </c>
      <c r="H51" s="389">
        <v>0.882462941</v>
      </c>
      <c r="I51" s="388">
        <v>7.8812702341999996E-2</v>
      </c>
      <c r="J51" s="388">
        <v>0.383670171</v>
      </c>
      <c r="K51" s="388">
        <v>4.6100000000000002E-2</v>
      </c>
      <c r="L51" s="388">
        <v>0.41746259365797905</v>
      </c>
      <c r="M51" s="388">
        <v>6.0416322979439274E-2</v>
      </c>
      <c r="N51" s="389">
        <v>0.3977144603681359</v>
      </c>
      <c r="O51" s="389">
        <v>5.0136803098979765</v>
      </c>
      <c r="P51" s="389">
        <v>21.354503065745487</v>
      </c>
      <c r="Q51" s="389">
        <v>23.858191338091594</v>
      </c>
      <c r="R51" s="389">
        <v>1.6062733702309155</v>
      </c>
      <c r="S51" s="389">
        <v>158.42114040000001</v>
      </c>
      <c r="T51" s="388" t="s">
        <v>100</v>
      </c>
      <c r="U51" s="388">
        <v>2.1898341171987242E-2</v>
      </c>
      <c r="V51" s="388">
        <v>6.843333865276266E-2</v>
      </c>
      <c r="W51" s="388">
        <v>0.52730496409090521</v>
      </c>
      <c r="X51" s="388">
        <v>0.12235952034084271</v>
      </c>
      <c r="Y51" s="388">
        <v>0.37734117744577217</v>
      </c>
      <c r="Z51" s="388">
        <v>0.37734117744577222</v>
      </c>
    </row>
    <row r="52" spans="1:26" s="322" customFormat="1" ht="13">
      <c r="A52" s="386" t="s">
        <v>563</v>
      </c>
      <c r="B52" s="387">
        <v>1309</v>
      </c>
      <c r="C52" s="388">
        <v>3.8352410259999997E-2</v>
      </c>
      <c r="D52" s="388">
        <v>9.9451592592272181E-2</v>
      </c>
      <c r="E52" s="388">
        <v>0.13032343309105052</v>
      </c>
      <c r="F52" s="388">
        <v>0.25610920449560287</v>
      </c>
      <c r="G52" s="389">
        <v>1.1266532025132072</v>
      </c>
      <c r="H52" s="389">
        <v>1.17000631</v>
      </c>
      <c r="I52" s="388">
        <v>9.6640391219999996E-2</v>
      </c>
      <c r="J52" s="388">
        <v>0.35439353400000001</v>
      </c>
      <c r="K52" s="388">
        <v>4.6100000000000002E-2</v>
      </c>
      <c r="L52" s="388">
        <v>0.14032490472561865</v>
      </c>
      <c r="M52" s="388">
        <v>8.7955006329294289E-2</v>
      </c>
      <c r="N52" s="389">
        <v>1.6036318940204406</v>
      </c>
      <c r="O52" s="389">
        <v>2.0153923647113055</v>
      </c>
      <c r="P52" s="389">
        <v>14.23467027035978</v>
      </c>
      <c r="Q52" s="389">
        <v>20.06510707214812</v>
      </c>
      <c r="R52" s="389">
        <v>3.0133480636544427</v>
      </c>
      <c r="S52" s="389">
        <v>43.760528460000003</v>
      </c>
      <c r="T52" s="388">
        <v>0.2475340494595199</v>
      </c>
      <c r="U52" s="388">
        <v>3.6587872166321839E-2</v>
      </c>
      <c r="V52" s="388">
        <v>4.5369465344942489E-2</v>
      </c>
      <c r="W52" s="388">
        <v>0.84245295378603069</v>
      </c>
      <c r="X52" s="388">
        <v>0.12215778829147939</v>
      </c>
      <c r="Y52" s="388">
        <v>0.38935572543686592</v>
      </c>
      <c r="Z52" s="388">
        <v>0.38935572543686592</v>
      </c>
    </row>
    <row r="53" spans="1:26" s="322" customFormat="1" ht="13">
      <c r="A53" s="386" t="s">
        <v>564</v>
      </c>
      <c r="B53" s="387">
        <v>1594</v>
      </c>
      <c r="C53" s="388">
        <v>2.5022937500000002E-2</v>
      </c>
      <c r="D53" s="388">
        <v>0.12464584880778939</v>
      </c>
      <c r="E53" s="388">
        <v>0.11856069105975539</v>
      </c>
      <c r="F53" s="388">
        <v>0.32623320528494121</v>
      </c>
      <c r="G53" s="389">
        <v>1.3338429327694912</v>
      </c>
      <c r="H53" s="389">
        <v>1.551812996</v>
      </c>
      <c r="I53" s="388">
        <v>0.120312405752</v>
      </c>
      <c r="J53" s="388">
        <v>0.73249455600000002</v>
      </c>
      <c r="K53" s="388">
        <v>5.6599999999999998E-2</v>
      </c>
      <c r="L53" s="388">
        <v>0.25597321160819514</v>
      </c>
      <c r="M53" s="388">
        <v>0.10043532159809514</v>
      </c>
      <c r="N53" s="389">
        <v>0.99654385205036389</v>
      </c>
      <c r="O53" s="389">
        <v>1.8200144016646385</v>
      </c>
      <c r="P53" s="389">
        <v>8.617026562486604</v>
      </c>
      <c r="Q53" s="389">
        <v>14.089197969238047</v>
      </c>
      <c r="R53" s="389">
        <v>1.8937144262488335</v>
      </c>
      <c r="S53" s="389">
        <v>57.416138320000002</v>
      </c>
      <c r="T53" s="388">
        <v>9.1252802719252277E-2</v>
      </c>
      <c r="U53" s="388">
        <v>7.0604223599231228E-2</v>
      </c>
      <c r="V53" s="388">
        <v>2.1764575690601761E-2</v>
      </c>
      <c r="W53" s="388">
        <v>0.47681873248152651</v>
      </c>
      <c r="X53" s="388">
        <v>9.9348585765801842E-2</v>
      </c>
      <c r="Y53" s="388">
        <v>0.44123251290339077</v>
      </c>
      <c r="Z53" s="388">
        <v>0.44123251290339072</v>
      </c>
    </row>
    <row r="54" spans="1:26" s="322" customFormat="1" ht="13">
      <c r="A54" s="386" t="s">
        <v>565</v>
      </c>
      <c r="B54" s="387">
        <v>157</v>
      </c>
      <c r="C54" s="388">
        <v>2.5704700850000001E-2</v>
      </c>
      <c r="D54" s="388">
        <v>8.5545189449464973E-2</v>
      </c>
      <c r="E54" s="388">
        <v>0.13854469715907658</v>
      </c>
      <c r="F54" s="388">
        <v>0.29596950109513526</v>
      </c>
      <c r="G54" s="389">
        <v>0.85376702736986099</v>
      </c>
      <c r="H54" s="389">
        <v>0.95412823000000002</v>
      </c>
      <c r="I54" s="388">
        <v>8.3255950260000003E-2</v>
      </c>
      <c r="J54" s="388">
        <v>0.38171383599999997</v>
      </c>
      <c r="K54" s="388">
        <v>4.6100000000000002E-2</v>
      </c>
      <c r="L54" s="388">
        <v>0.2415253674701596</v>
      </c>
      <c r="M54" s="388">
        <v>7.1539462841586327E-2</v>
      </c>
      <c r="N54" s="389">
        <v>1.9783391488852802</v>
      </c>
      <c r="O54" s="389">
        <v>1.2462670339867896</v>
      </c>
      <c r="P54" s="389">
        <v>9.1225350488144041</v>
      </c>
      <c r="Q54" s="389">
        <v>14.486341751477307</v>
      </c>
      <c r="R54" s="389">
        <v>2.5657293146035687</v>
      </c>
      <c r="S54" s="389">
        <v>49.871056459999998</v>
      </c>
      <c r="T54" s="388">
        <v>0.12308547333901952</v>
      </c>
      <c r="U54" s="388">
        <v>3.6514778887401546E-2</v>
      </c>
      <c r="V54" s="388">
        <v>2.8863196201565411E-2</v>
      </c>
      <c r="W54" s="388">
        <v>0.46899960362600662</v>
      </c>
      <c r="X54" s="388">
        <v>8.1089501666338978E-2</v>
      </c>
      <c r="Y54" s="388">
        <v>0.55902951404408274</v>
      </c>
      <c r="Z54" s="388">
        <v>0.55902951404408274</v>
      </c>
    </row>
    <row r="55" spans="1:26" s="322" customFormat="1" ht="13">
      <c r="A55" s="386" t="s">
        <v>566</v>
      </c>
      <c r="B55" s="387">
        <v>48</v>
      </c>
      <c r="C55" s="388">
        <v>-2.829342105E-2</v>
      </c>
      <c r="D55" s="388">
        <v>5.6770904208567584E-2</v>
      </c>
      <c r="E55" s="388">
        <v>4.6263227422211867E-2</v>
      </c>
      <c r="F55" s="388">
        <v>0.28708411285285729</v>
      </c>
      <c r="G55" s="389">
        <v>1.2203417876504439</v>
      </c>
      <c r="H55" s="389">
        <v>1.4640062110000001</v>
      </c>
      <c r="I55" s="388">
        <v>0.11486838508199999</v>
      </c>
      <c r="J55" s="388">
        <v>0.27869867599999998</v>
      </c>
      <c r="K55" s="388">
        <v>4.6100000000000002E-2</v>
      </c>
      <c r="L55" s="388">
        <v>0.27417789464917719</v>
      </c>
      <c r="M55" s="388">
        <v>9.2900480329451904E-2</v>
      </c>
      <c r="N55" s="389">
        <v>1.0474058404248725</v>
      </c>
      <c r="O55" s="389">
        <v>1.1565369837272208</v>
      </c>
      <c r="P55" s="389">
        <v>7.1623905285286558</v>
      </c>
      <c r="Q55" s="389">
        <v>20.311558136516847</v>
      </c>
      <c r="R55" s="389">
        <v>1.1689838697533355</v>
      </c>
      <c r="S55" s="389">
        <v>42.684005480000003</v>
      </c>
      <c r="T55" s="388">
        <v>2.5543700279796865E-2</v>
      </c>
      <c r="U55" s="388">
        <v>9.2847515245595397E-2</v>
      </c>
      <c r="V55" s="388">
        <v>9.166737606887328E-3</v>
      </c>
      <c r="W55" s="388">
        <v>0.32439813032385939</v>
      </c>
      <c r="X55" s="388">
        <v>6.2169886205339739E-2</v>
      </c>
      <c r="Y55" s="388">
        <v>0.67452401292365505</v>
      </c>
      <c r="Z55" s="388">
        <v>0.67452401292365505</v>
      </c>
    </row>
    <row r="56" spans="1:26" s="322" customFormat="1" ht="13">
      <c r="A56" s="386" t="s">
        <v>567</v>
      </c>
      <c r="B56" s="387">
        <v>928</v>
      </c>
      <c r="C56" s="388">
        <v>-1.11018561E-3</v>
      </c>
      <c r="D56" s="388">
        <v>8.0964145374043173E-2</v>
      </c>
      <c r="E56" s="388">
        <v>2.873340727721798E-2</v>
      </c>
      <c r="F56" s="388">
        <v>0.18124679995168286</v>
      </c>
      <c r="G56" s="389">
        <v>1.3269818095585086</v>
      </c>
      <c r="H56" s="389">
        <v>1.66673184</v>
      </c>
      <c r="I56" s="388">
        <v>0.12743737408</v>
      </c>
      <c r="J56" s="388">
        <v>0.70828671899999995</v>
      </c>
      <c r="K56" s="388">
        <v>5.6599999999999998E-2</v>
      </c>
      <c r="L56" s="388">
        <v>0.30376279785447952</v>
      </c>
      <c r="M56" s="388">
        <v>0.10168498555228062</v>
      </c>
      <c r="N56" s="389">
        <v>0.36764812069289116</v>
      </c>
      <c r="O56" s="389">
        <v>3.8696633343691555</v>
      </c>
      <c r="P56" s="389">
        <v>8.4739246946175797</v>
      </c>
      <c r="Q56" s="389">
        <v>46.405016895195189</v>
      </c>
      <c r="R56" s="389">
        <v>1.5248631901737824</v>
      </c>
      <c r="S56" s="389">
        <v>84.757859690000004</v>
      </c>
      <c r="T56" s="388">
        <v>1.1005709938000418E-2</v>
      </c>
      <c r="U56" s="388">
        <v>0.42298429886697603</v>
      </c>
      <c r="V56" s="388">
        <v>0.15608131783472093</v>
      </c>
      <c r="W56" s="388">
        <v>3.2798499831633943</v>
      </c>
      <c r="X56" s="388">
        <v>-6.7846667113435344E-3</v>
      </c>
      <c r="Y56" s="388">
        <v>5.5704693800000009E-3</v>
      </c>
      <c r="Z56" s="388">
        <v>5.5704693800000538E-3</v>
      </c>
    </row>
    <row r="57" spans="1:26" s="322" customFormat="1" ht="13">
      <c r="A57" s="386" t="s">
        <v>568</v>
      </c>
      <c r="B57" s="387">
        <v>143</v>
      </c>
      <c r="C57" s="388">
        <v>0.1020587255</v>
      </c>
      <c r="D57" s="388">
        <v>0.12914270892833465</v>
      </c>
      <c r="E57" s="388">
        <v>6.414536948813529E-2</v>
      </c>
      <c r="F57" s="388">
        <v>0.24372101989558209</v>
      </c>
      <c r="G57" s="389">
        <v>1.0805147266121189</v>
      </c>
      <c r="H57" s="389">
        <v>1.681048168</v>
      </c>
      <c r="I57" s="388">
        <v>0.12832498641600001</v>
      </c>
      <c r="J57" s="388">
        <v>0.39862497800000002</v>
      </c>
      <c r="K57" s="388">
        <v>4.6100000000000002E-2</v>
      </c>
      <c r="L57" s="388">
        <v>0.44414103470560895</v>
      </c>
      <c r="M57" s="388">
        <v>8.6762527581850726E-2</v>
      </c>
      <c r="N57" s="389">
        <v>0.56985295547755543</v>
      </c>
      <c r="O57" s="389">
        <v>2.965671958942016</v>
      </c>
      <c r="P57" s="389">
        <v>13.44806935067478</v>
      </c>
      <c r="Q57" s="389">
        <v>22.534097859295212</v>
      </c>
      <c r="R57" s="389">
        <v>1.5627869480568657</v>
      </c>
      <c r="S57" s="389">
        <v>29.934183340000001</v>
      </c>
      <c r="T57" s="388">
        <v>2.2887865481054984E-2</v>
      </c>
      <c r="U57" s="388">
        <v>0.16416176605243019</v>
      </c>
      <c r="V57" s="388">
        <v>9.4852533335795297E-2</v>
      </c>
      <c r="W57" s="388">
        <v>1.0535173386684384</v>
      </c>
      <c r="X57" s="388">
        <v>6.9786332369367071E-2</v>
      </c>
      <c r="Y57" s="388">
        <v>1.1211855222846563</v>
      </c>
      <c r="Z57" s="388">
        <v>1.1211855222846563</v>
      </c>
    </row>
    <row r="58" spans="1:26" s="322" customFormat="1" ht="13">
      <c r="A58" s="386" t="s">
        <v>569</v>
      </c>
      <c r="B58" s="387">
        <v>524</v>
      </c>
      <c r="C58" s="388">
        <v>-3.4584337020000001E-2</v>
      </c>
      <c r="D58" s="388">
        <v>5.2932496211250617E-2</v>
      </c>
      <c r="E58" s="388">
        <v>9.1455153549316048E-2</v>
      </c>
      <c r="F58" s="388">
        <v>0.26130844736541414</v>
      </c>
      <c r="G58" s="389">
        <v>1.1721959609655972</v>
      </c>
      <c r="H58" s="389">
        <v>1.4182456189999999</v>
      </c>
      <c r="I58" s="388">
        <v>0.11203122837799999</v>
      </c>
      <c r="J58" s="388">
        <v>0.47418000500000002</v>
      </c>
      <c r="K58" s="388">
        <v>4.9099999999999998E-2</v>
      </c>
      <c r="L58" s="388">
        <v>0.28001167207136651</v>
      </c>
      <c r="M58" s="388">
        <v>9.102347634016035E-2</v>
      </c>
      <c r="N58" s="389">
        <v>1.9276791149764618</v>
      </c>
      <c r="O58" s="389">
        <v>0.94930038112872273</v>
      </c>
      <c r="P58" s="389">
        <v>9.5167379058614809</v>
      </c>
      <c r="Q58" s="389">
        <v>17.158520701343928</v>
      </c>
      <c r="R58" s="389">
        <v>1.7355192681914329</v>
      </c>
      <c r="S58" s="389">
        <v>51.706498750000002</v>
      </c>
      <c r="T58" s="388">
        <v>6.46124278580089E-2</v>
      </c>
      <c r="U58" s="388">
        <v>3.5446779767348134E-2</v>
      </c>
      <c r="V58" s="388">
        <v>1.1931196464781727E-2</v>
      </c>
      <c r="W58" s="388">
        <v>0.64329539522652346</v>
      </c>
      <c r="X58" s="388">
        <v>7.0089024731712773E-2</v>
      </c>
      <c r="Y58" s="388">
        <v>0.74533229171331528</v>
      </c>
      <c r="Z58" s="388">
        <v>0.74533229171331528</v>
      </c>
    </row>
    <row r="59" spans="1:26" s="322" customFormat="1" ht="13">
      <c r="A59" s="386" t="s">
        <v>570</v>
      </c>
      <c r="B59" s="387">
        <v>390</v>
      </c>
      <c r="C59" s="388">
        <v>5.7597074829999997E-2</v>
      </c>
      <c r="D59" s="388">
        <v>9.0549875909357938E-2</v>
      </c>
      <c r="E59" s="388">
        <v>0.12043091745360193</v>
      </c>
      <c r="F59" s="388">
        <v>0.25269682846176061</v>
      </c>
      <c r="G59" s="389">
        <v>0.6198380372865312</v>
      </c>
      <c r="H59" s="389">
        <v>0.78632057</v>
      </c>
      <c r="I59" s="388">
        <v>7.2851875339999997E-2</v>
      </c>
      <c r="J59" s="388">
        <v>0.32264137100000001</v>
      </c>
      <c r="K59" s="388">
        <v>4.6100000000000002E-2</v>
      </c>
      <c r="L59" s="388">
        <v>0.30486581960308362</v>
      </c>
      <c r="M59" s="388">
        <v>6.1234565330475541E-2</v>
      </c>
      <c r="N59" s="389">
        <v>1.6379718604307121</v>
      </c>
      <c r="O59" s="389">
        <v>1.525525325899405</v>
      </c>
      <c r="P59" s="389">
        <v>10.247697071000815</v>
      </c>
      <c r="Q59" s="389">
        <v>16.754819098554758</v>
      </c>
      <c r="R59" s="389">
        <v>2.7454483102431224</v>
      </c>
      <c r="S59" s="389">
        <v>27.28227983</v>
      </c>
      <c r="T59" s="388">
        <v>0.13147946379584782</v>
      </c>
      <c r="U59" s="388">
        <v>5.7791598831016117E-2</v>
      </c>
      <c r="V59" s="388">
        <v>6.5004036584842564E-2</v>
      </c>
      <c r="W59" s="388">
        <v>1.0697222906059864</v>
      </c>
      <c r="X59" s="388">
        <v>0.14594679268783847</v>
      </c>
      <c r="Y59" s="388">
        <v>0.41630541509715419</v>
      </c>
      <c r="Z59" s="388">
        <v>0.41630541509715413</v>
      </c>
    </row>
    <row r="60" spans="1:26" s="322" customFormat="1" ht="13">
      <c r="A60" s="386" t="s">
        <v>571</v>
      </c>
      <c r="B60" s="387">
        <v>295</v>
      </c>
      <c r="C60" s="388">
        <v>3.3273974900000003E-2</v>
      </c>
      <c r="D60" s="388">
        <v>8.8547891175480536E-2</v>
      </c>
      <c r="E60" s="388">
        <v>7.7432714692787105E-2</v>
      </c>
      <c r="F60" s="388">
        <v>0.22124068315254203</v>
      </c>
      <c r="G60" s="389">
        <v>0.80493435100708199</v>
      </c>
      <c r="H60" s="389">
        <v>1.0378923760000001</v>
      </c>
      <c r="I60" s="388">
        <v>8.8449327312000003E-2</v>
      </c>
      <c r="J60" s="388">
        <v>0.36006106500000001</v>
      </c>
      <c r="K60" s="388">
        <v>4.6100000000000002E-2</v>
      </c>
      <c r="L60" s="388">
        <v>0.32910240753759845</v>
      </c>
      <c r="M60" s="388">
        <v>7.0775291486805891E-2</v>
      </c>
      <c r="N60" s="389">
        <v>1.0321483749881279</v>
      </c>
      <c r="O60" s="389">
        <v>1.424819471343044</v>
      </c>
      <c r="P60" s="389">
        <v>9.2532578682506355</v>
      </c>
      <c r="Q60" s="389">
        <v>15.862809116634907</v>
      </c>
      <c r="R60" s="389">
        <v>1.6143218124889895</v>
      </c>
      <c r="S60" s="389">
        <v>297.11262410000001</v>
      </c>
      <c r="T60" s="388">
        <v>0.18039479530302335</v>
      </c>
      <c r="U60" s="388">
        <v>7.0619945342899448E-2</v>
      </c>
      <c r="V60" s="388">
        <v>3.9634690198990567E-2</v>
      </c>
      <c r="W60" s="388">
        <v>0.62124449214320043</v>
      </c>
      <c r="X60" s="388">
        <v>9.3193485619991162E-2</v>
      </c>
      <c r="Y60" s="388">
        <v>0.41970483366194256</v>
      </c>
      <c r="Z60" s="388">
        <v>0.41970483366194256</v>
      </c>
    </row>
    <row r="61" spans="1:26" s="322" customFormat="1" ht="13">
      <c r="A61" s="386" t="s">
        <v>572</v>
      </c>
      <c r="B61" s="387">
        <v>563</v>
      </c>
      <c r="C61" s="388">
        <v>6.127903153E-2</v>
      </c>
      <c r="D61" s="388">
        <v>0.12101678415489002</v>
      </c>
      <c r="E61" s="388">
        <v>6.3544358273512333E-2</v>
      </c>
      <c r="F61" s="388">
        <v>0.20261504848188261</v>
      </c>
      <c r="G61" s="389">
        <v>0.57713574419069735</v>
      </c>
      <c r="H61" s="389">
        <v>0.92856930199999999</v>
      </c>
      <c r="I61" s="388">
        <v>8.1671296724000003E-2</v>
      </c>
      <c r="J61" s="388">
        <v>0.28370383500000002</v>
      </c>
      <c r="K61" s="388">
        <v>4.6100000000000002E-2</v>
      </c>
      <c r="L61" s="388">
        <v>0.47369003766414453</v>
      </c>
      <c r="M61" s="388">
        <v>5.944304746469109E-2</v>
      </c>
      <c r="N61" s="389">
        <v>0.64527035120379383</v>
      </c>
      <c r="O61" s="389">
        <v>2.1434533090457539</v>
      </c>
      <c r="P61" s="389">
        <v>9.3734107966188702</v>
      </c>
      <c r="Q61" s="389">
        <v>17.650277559592801</v>
      </c>
      <c r="R61" s="389">
        <v>1.3504946524211987</v>
      </c>
      <c r="S61" s="389">
        <v>31.32070916</v>
      </c>
      <c r="T61" s="388">
        <v>1.2225448447790322E-2</v>
      </c>
      <c r="U61" s="388">
        <v>0.15596259973752163</v>
      </c>
      <c r="V61" s="388">
        <v>8.7433225032131454E-2</v>
      </c>
      <c r="W61" s="388">
        <v>1.0071466247787482</v>
      </c>
      <c r="X61" s="388">
        <v>0.10565344577476253</v>
      </c>
      <c r="Y61" s="388">
        <v>0.54591221459286854</v>
      </c>
      <c r="Z61" s="388">
        <v>0.54591221459286854</v>
      </c>
    </row>
    <row r="62" spans="1:26" s="322" customFormat="1" ht="13">
      <c r="A62" s="386" t="s">
        <v>573</v>
      </c>
      <c r="B62" s="387">
        <v>961</v>
      </c>
      <c r="C62" s="388">
        <v>5.7864978349999999E-2</v>
      </c>
      <c r="D62" s="388">
        <v>0.12243868951032862</v>
      </c>
      <c r="E62" s="388">
        <v>7.8303318866530733E-2</v>
      </c>
      <c r="F62" s="388">
        <v>0.27550447847421311</v>
      </c>
      <c r="G62" s="389">
        <v>1.2235515256805829</v>
      </c>
      <c r="H62" s="389">
        <v>1.332910134</v>
      </c>
      <c r="I62" s="388">
        <v>0.106740428308</v>
      </c>
      <c r="J62" s="388">
        <v>0.86964896300000005</v>
      </c>
      <c r="K62" s="388">
        <v>7.9100000000000004E-2</v>
      </c>
      <c r="L62" s="388">
        <v>0.18395374942499199</v>
      </c>
      <c r="M62" s="388">
        <v>9.8072020233995708E-2</v>
      </c>
      <c r="N62" s="389">
        <v>0.66320371835812442</v>
      </c>
      <c r="O62" s="389">
        <v>2.7038670675896848</v>
      </c>
      <c r="P62" s="389">
        <v>8.5215575611516297</v>
      </c>
      <c r="Q62" s="389">
        <v>20.471299130233877</v>
      </c>
      <c r="R62" s="389">
        <v>1.7045241144919059</v>
      </c>
      <c r="S62" s="389">
        <v>39.297045609999998</v>
      </c>
      <c r="T62" s="388">
        <v>0.13055827694097999</v>
      </c>
      <c r="U62" s="388">
        <v>0.18964263907945594</v>
      </c>
      <c r="V62" s="388">
        <v>9.687193441245473E-2</v>
      </c>
      <c r="W62" s="388">
        <v>1.2958906010568048</v>
      </c>
      <c r="X62" s="388">
        <v>4.2936373034229085E-2</v>
      </c>
      <c r="Y62" s="388">
        <v>0.71466998152208672</v>
      </c>
      <c r="Z62" s="388">
        <v>0.71466998152208672</v>
      </c>
    </row>
    <row r="63" spans="1:26" s="322" customFormat="1" ht="13">
      <c r="A63" s="386" t="s">
        <v>660</v>
      </c>
      <c r="B63" s="387">
        <v>371</v>
      </c>
      <c r="C63" s="388">
        <v>-2.95736434E-3</v>
      </c>
      <c r="D63" s="388">
        <v>7.1671058439060589E-2</v>
      </c>
      <c r="E63" s="388">
        <v>0.10054600813289458</v>
      </c>
      <c r="F63" s="388">
        <v>0.24121290550892432</v>
      </c>
      <c r="G63" s="389">
        <v>0.89627882666079906</v>
      </c>
      <c r="H63" s="389">
        <v>0.97585723999999996</v>
      </c>
      <c r="I63" s="388">
        <v>8.4603148879999993E-2</v>
      </c>
      <c r="J63" s="388">
        <v>0.39437486300000002</v>
      </c>
      <c r="K63" s="388">
        <v>4.6100000000000002E-2</v>
      </c>
      <c r="L63" s="388">
        <v>0.22125658712793506</v>
      </c>
      <c r="M63" s="388">
        <v>7.3571831134549376E-2</v>
      </c>
      <c r="N63" s="389">
        <v>1.6498584376160603</v>
      </c>
      <c r="O63" s="389">
        <v>1.2932484095940018</v>
      </c>
      <c r="P63" s="389">
        <v>9.9387587607440633</v>
      </c>
      <c r="Q63" s="389">
        <v>17.345755371398685</v>
      </c>
      <c r="R63" s="389">
        <v>1.7051446218656188</v>
      </c>
      <c r="S63" s="389">
        <v>79.450689460000007</v>
      </c>
      <c r="T63" s="388">
        <v>0.11070495059125378</v>
      </c>
      <c r="U63" s="388">
        <v>3.0193388572568911E-2</v>
      </c>
      <c r="V63" s="388">
        <v>2.0068148001464864E-2</v>
      </c>
      <c r="W63" s="388">
        <v>0.38103727369569157</v>
      </c>
      <c r="X63" s="388">
        <v>8.5935533268543876E-3</v>
      </c>
      <c r="Y63" s="388">
        <v>4.714049629934741</v>
      </c>
      <c r="Z63" s="388">
        <v>4.714049629934741</v>
      </c>
    </row>
    <row r="64" spans="1:26" s="322" customFormat="1" ht="13">
      <c r="A64" s="386" t="s">
        <v>574</v>
      </c>
      <c r="B64" s="387">
        <v>714</v>
      </c>
      <c r="C64" s="388">
        <v>0.1168769565</v>
      </c>
      <c r="D64" s="388">
        <v>0.31762094680396435</v>
      </c>
      <c r="E64" s="388">
        <v>3.6992992019989818E-2</v>
      </c>
      <c r="F64" s="388">
        <v>3.0642616071659148E-2</v>
      </c>
      <c r="G64" s="389">
        <v>0.44629555687876832</v>
      </c>
      <c r="H64" s="389">
        <v>0.67585777800000002</v>
      </c>
      <c r="I64" s="388">
        <v>6.6003182236000005E-2</v>
      </c>
      <c r="J64" s="388">
        <v>0.23716837800000001</v>
      </c>
      <c r="K64" s="388">
        <v>4.1099999999999998E-2</v>
      </c>
      <c r="L64" s="388">
        <v>0.42190147286039437</v>
      </c>
      <c r="M64" s="388">
        <v>5.1225613895058121E-2</v>
      </c>
      <c r="N64" s="389">
        <v>0.11971696163213098</v>
      </c>
      <c r="O64" s="389">
        <v>12.196234839553508</v>
      </c>
      <c r="P64" s="389">
        <v>21.41488610142309</v>
      </c>
      <c r="Q64" s="389">
        <v>34.317580611297515</v>
      </c>
      <c r="R64" s="389">
        <v>1.5845882168556626</v>
      </c>
      <c r="S64" s="389">
        <v>112.516243</v>
      </c>
      <c r="T64" s="388">
        <v>0.38694203321279236</v>
      </c>
      <c r="U64" s="388">
        <v>6.4630563890974324E-2</v>
      </c>
      <c r="V64" s="388">
        <v>2.1025205607418399E-2</v>
      </c>
      <c r="W64" s="388">
        <v>0.11276863082499138</v>
      </c>
      <c r="X64" s="388">
        <v>0.10092000282392073</v>
      </c>
      <c r="Y64" s="388">
        <v>0.74782522842752763</v>
      </c>
      <c r="Z64" s="388">
        <v>0.74782522842752763</v>
      </c>
    </row>
    <row r="65" spans="1:26" s="322" customFormat="1" ht="13">
      <c r="A65" s="386" t="s">
        <v>575</v>
      </c>
      <c r="B65" s="387">
        <v>784</v>
      </c>
      <c r="C65" s="388">
        <v>0.14220464030000002</v>
      </c>
      <c r="D65" s="388">
        <v>0.18059202392990209</v>
      </c>
      <c r="E65" s="388">
        <v>7.9504314409248766E-2</v>
      </c>
      <c r="F65" s="388">
        <v>0.33681678113181984</v>
      </c>
      <c r="G65" s="389">
        <v>0.76265282353806851</v>
      </c>
      <c r="H65" s="389">
        <v>1.147271237</v>
      </c>
      <c r="I65" s="388">
        <v>9.5230816693999992E-2</v>
      </c>
      <c r="J65" s="388">
        <v>0.32510092899999998</v>
      </c>
      <c r="K65" s="388">
        <v>4.6100000000000002E-2</v>
      </c>
      <c r="L65" s="388">
        <v>0.5217646938360756</v>
      </c>
      <c r="M65" s="388">
        <v>6.3671750471105584E-2</v>
      </c>
      <c r="N65" s="389">
        <v>0.5435809907875635</v>
      </c>
      <c r="O65" s="389">
        <v>2.6768740193222307</v>
      </c>
      <c r="P65" s="389">
        <v>13.196505600812047</v>
      </c>
      <c r="Q65" s="389">
        <v>14.214705121243339</v>
      </c>
      <c r="R65" s="389">
        <v>1.1617443280134461</v>
      </c>
      <c r="S65" s="389">
        <v>203.7720123</v>
      </c>
      <c r="T65" s="388">
        <v>1.5691631022572128</v>
      </c>
      <c r="U65" s="388">
        <v>2.830141293727954E-2</v>
      </c>
      <c r="V65" s="388">
        <v>7.8502919513227867E-2</v>
      </c>
      <c r="W65" s="388">
        <v>0.78150322190912525</v>
      </c>
      <c r="X65" s="388">
        <v>0.1189357491824832</v>
      </c>
      <c r="Y65" s="388">
        <v>0.53773646449349966</v>
      </c>
      <c r="Z65" s="388">
        <v>0.53773646449349966</v>
      </c>
    </row>
    <row r="66" spans="1:26" s="322" customFormat="1" ht="13">
      <c r="A66" s="386" t="s">
        <v>576</v>
      </c>
      <c r="B66" s="387">
        <v>415</v>
      </c>
      <c r="C66" s="388">
        <v>0.13578966670000001</v>
      </c>
      <c r="D66" s="388">
        <v>0.20966264455578967</v>
      </c>
      <c r="E66" s="388">
        <v>5.4290462351878427E-2</v>
      </c>
      <c r="F66" s="388">
        <v>0.20171571874632463</v>
      </c>
      <c r="G66" s="389">
        <v>0.77560049297692346</v>
      </c>
      <c r="H66" s="389">
        <v>1.0917198930000001</v>
      </c>
      <c r="I66" s="388">
        <v>9.1786633366000001E-2</v>
      </c>
      <c r="J66" s="388">
        <v>0.32658504900000002</v>
      </c>
      <c r="K66" s="388">
        <v>4.6100000000000002E-2</v>
      </c>
      <c r="L66" s="388">
        <v>0.42699811651899583</v>
      </c>
      <c r="M66" s="388">
        <v>6.7430206744477306E-2</v>
      </c>
      <c r="N66" s="389">
        <v>0.30408948498413002</v>
      </c>
      <c r="O66" s="389">
        <v>3.4945566367087944</v>
      </c>
      <c r="P66" s="389">
        <v>13.082342217489412</v>
      </c>
      <c r="Q66" s="389">
        <v>16.182353432194539</v>
      </c>
      <c r="R66" s="389">
        <v>0.87698505902950508</v>
      </c>
      <c r="S66" s="389">
        <v>49.929063739999997</v>
      </c>
      <c r="T66" s="388">
        <v>0.71215750375105003</v>
      </c>
      <c r="U66" s="388">
        <v>8.2501242821741802E-2</v>
      </c>
      <c r="V66" s="388">
        <v>0.10490623112661272</v>
      </c>
      <c r="W66" s="388">
        <v>0.47525644636854958</v>
      </c>
      <c r="X66" s="388">
        <v>9.0108658110606643E-2</v>
      </c>
      <c r="Y66" s="388">
        <v>0.30277004403764612</v>
      </c>
      <c r="Z66" s="388">
        <v>0.30277004403764618</v>
      </c>
    </row>
    <row r="67" spans="1:26" s="322" customFormat="1" ht="13">
      <c r="A67" s="386" t="s">
        <v>577</v>
      </c>
      <c r="B67" s="387">
        <v>628</v>
      </c>
      <c r="C67" s="388">
        <v>8.7840669980000008E-2</v>
      </c>
      <c r="D67" s="388">
        <v>0.27856488840928467</v>
      </c>
      <c r="E67" s="388">
        <v>5.434201633628713E-2</v>
      </c>
      <c r="F67" s="388">
        <v>0.19977360011006826</v>
      </c>
      <c r="G67" s="389">
        <v>0.64310690675746407</v>
      </c>
      <c r="H67" s="389">
        <v>0.90044912300000002</v>
      </c>
      <c r="I67" s="388">
        <v>7.9927845625999999E-2</v>
      </c>
      <c r="J67" s="388">
        <v>0.328324756</v>
      </c>
      <c r="K67" s="388">
        <v>4.6100000000000002E-2</v>
      </c>
      <c r="L67" s="388">
        <v>0.3844205413480255</v>
      </c>
      <c r="M67" s="388">
        <v>6.2558850770517385E-2</v>
      </c>
      <c r="N67" s="389">
        <v>0.22592966977541312</v>
      </c>
      <c r="O67" s="389">
        <v>6.3930156085482421</v>
      </c>
      <c r="P67" s="389">
        <v>18.22606268540498</v>
      </c>
      <c r="Q67" s="389">
        <v>21.50896310097086</v>
      </c>
      <c r="R67" s="389">
        <v>1.1715087785696974</v>
      </c>
      <c r="S67" s="389">
        <v>56.33280663</v>
      </c>
      <c r="T67" s="388">
        <v>0.19728159943103241</v>
      </c>
      <c r="U67" s="388">
        <v>5.347012566584753E-2</v>
      </c>
      <c r="V67" s="388">
        <v>9.2165242605307687E-2</v>
      </c>
      <c r="W67" s="388">
        <v>0.50875410500400653</v>
      </c>
      <c r="X67" s="388">
        <v>0.14883866712884389</v>
      </c>
      <c r="Y67" s="388">
        <v>0.24212723862211238</v>
      </c>
      <c r="Z67" s="388">
        <v>0.24212723862211238</v>
      </c>
    </row>
    <row r="68" spans="1:26" s="322" customFormat="1" ht="13">
      <c r="A68" s="386" t="s">
        <v>578</v>
      </c>
      <c r="B68" s="387">
        <v>321</v>
      </c>
      <c r="C68" s="388">
        <v>2.9439234449999997E-2</v>
      </c>
      <c r="D68" s="388">
        <v>0.10789485947879818</v>
      </c>
      <c r="E68" s="388">
        <v>0.10080532486106104</v>
      </c>
      <c r="F68" s="388">
        <v>0.30483653346512463</v>
      </c>
      <c r="G68" s="389">
        <v>0.8153318358837881</v>
      </c>
      <c r="H68" s="389">
        <v>0.87752317300000005</v>
      </c>
      <c r="I68" s="388">
        <v>7.8506436726000009E-2</v>
      </c>
      <c r="J68" s="388">
        <v>0.36755642599999999</v>
      </c>
      <c r="K68" s="388">
        <v>4.6100000000000002E-2</v>
      </c>
      <c r="L68" s="388">
        <v>0.19869376139535974</v>
      </c>
      <c r="M68" s="388">
        <v>6.9811425514290024E-2</v>
      </c>
      <c r="N68" s="389">
        <v>1.1132325255544384</v>
      </c>
      <c r="O68" s="389">
        <v>2.2777824683850234</v>
      </c>
      <c r="P68" s="389">
        <v>12.909662424029925</v>
      </c>
      <c r="Q68" s="389">
        <v>20.706245276120125</v>
      </c>
      <c r="R68" s="389">
        <v>2.7241957407426676</v>
      </c>
      <c r="S68" s="389">
        <v>40.132774349999998</v>
      </c>
      <c r="T68" s="388">
        <v>0.18270688076155536</v>
      </c>
      <c r="U68" s="388">
        <v>7.315393857774305E-2</v>
      </c>
      <c r="V68" s="388">
        <v>5.3206817947189081E-2</v>
      </c>
      <c r="W68" s="388">
        <v>0.76199064599081645</v>
      </c>
      <c r="X68" s="388">
        <v>8.554619187551557E-2</v>
      </c>
      <c r="Y68" s="388">
        <v>0.56016344148422603</v>
      </c>
      <c r="Z68" s="388">
        <v>0.56016344148422603</v>
      </c>
    </row>
    <row r="69" spans="1:26" s="322" customFormat="1" ht="13">
      <c r="A69" s="386" t="s">
        <v>579</v>
      </c>
      <c r="B69" s="387">
        <v>38</v>
      </c>
      <c r="C69" s="388">
        <v>8.5958965519999986E-2</v>
      </c>
      <c r="D69" s="388">
        <v>5.4249874149618391E-2</v>
      </c>
      <c r="E69" s="388">
        <v>6.5311987371651919E-2</v>
      </c>
      <c r="F69" s="388">
        <v>0.18665928291522427</v>
      </c>
      <c r="G69" s="389">
        <v>1.1587108099822048</v>
      </c>
      <c r="H69" s="389">
        <v>1.183170037</v>
      </c>
      <c r="I69" s="388">
        <v>9.7456542293999998E-2</v>
      </c>
      <c r="J69" s="388">
        <v>0.281887047</v>
      </c>
      <c r="K69" s="388">
        <v>4.6100000000000002E-2</v>
      </c>
      <c r="L69" s="388">
        <v>0.18470394839438622</v>
      </c>
      <c r="M69" s="388">
        <v>8.587357810364725E-2</v>
      </c>
      <c r="N69" s="389">
        <v>1.3950115263230658</v>
      </c>
      <c r="O69" s="389">
        <v>0.79263107776840369</v>
      </c>
      <c r="P69" s="389">
        <v>12.056487779046231</v>
      </c>
      <c r="Q69" s="389">
        <v>13.632555860136879</v>
      </c>
      <c r="R69" s="389">
        <v>1.0209628714236134</v>
      </c>
      <c r="S69" s="389">
        <v>63.331796959999998</v>
      </c>
      <c r="T69" s="388">
        <v>-0.38559064562928791</v>
      </c>
      <c r="U69" s="388">
        <v>1.185961834227001E-3</v>
      </c>
      <c r="V69" s="388">
        <v>1.484608450074578E-3</v>
      </c>
      <c r="W69" s="388">
        <v>0.18510507053585415</v>
      </c>
      <c r="X69" s="388">
        <v>5.5523751135707754E-2</v>
      </c>
      <c r="Y69" s="388">
        <v>0.64822470300636881</v>
      </c>
      <c r="Z69" s="388">
        <v>0.64822470300636881</v>
      </c>
    </row>
    <row r="70" spans="1:26" s="322" customFormat="1" ht="13">
      <c r="A70" s="386" t="s">
        <v>580</v>
      </c>
      <c r="B70" s="387">
        <v>364</v>
      </c>
      <c r="C70" s="388">
        <v>7.3337702130000001E-2</v>
      </c>
      <c r="D70" s="388">
        <v>0.11022331344743112</v>
      </c>
      <c r="E70" s="388">
        <v>0.14493213531059002</v>
      </c>
      <c r="F70" s="388">
        <v>0.28544193039053145</v>
      </c>
      <c r="G70" s="389">
        <v>0.70356087153014724</v>
      </c>
      <c r="H70" s="389">
        <v>0.8507846</v>
      </c>
      <c r="I70" s="388">
        <v>7.6848645199999996E-2</v>
      </c>
      <c r="J70" s="388">
        <v>0.344749588</v>
      </c>
      <c r="K70" s="388">
        <v>4.6100000000000002E-2</v>
      </c>
      <c r="L70" s="388">
        <v>0.25638029145543251</v>
      </c>
      <c r="M70" s="388">
        <v>6.6054246509054004E-2</v>
      </c>
      <c r="N70" s="389">
        <v>1.6412828453789889</v>
      </c>
      <c r="O70" s="389">
        <v>2.4531350108454393</v>
      </c>
      <c r="P70" s="389">
        <v>12.692070782955186</v>
      </c>
      <c r="Q70" s="389">
        <v>22.121630716415151</v>
      </c>
      <c r="R70" s="389">
        <v>7.5632580162340313</v>
      </c>
      <c r="S70" s="389">
        <v>55.744148170000003</v>
      </c>
      <c r="T70" s="388">
        <v>-1.0947122043233871E-2</v>
      </c>
      <c r="U70" s="388">
        <v>4.9394827744136109E-2</v>
      </c>
      <c r="V70" s="388">
        <v>3.2041378654455131E-2</v>
      </c>
      <c r="W70" s="388">
        <v>0.429835610329038</v>
      </c>
      <c r="X70" s="388">
        <v>0.30868204525977821</v>
      </c>
      <c r="Y70" s="388">
        <v>0.55700617477361047</v>
      </c>
      <c r="Z70" s="388">
        <v>0.55700617477361047</v>
      </c>
    </row>
    <row r="71" spans="1:26" s="322" customFormat="1" ht="13">
      <c r="A71" s="386" t="s">
        <v>581</v>
      </c>
      <c r="B71" s="387">
        <v>169</v>
      </c>
      <c r="C71" s="388">
        <v>5.4355378150000001E-2</v>
      </c>
      <c r="D71" s="388">
        <v>4.3973420249088319E-2</v>
      </c>
      <c r="E71" s="388">
        <v>0.10220933384306768</v>
      </c>
      <c r="F71" s="388">
        <v>0.29983390777640673</v>
      </c>
      <c r="G71" s="389">
        <v>0.67775042329087754</v>
      </c>
      <c r="H71" s="389">
        <v>0.95965311099999995</v>
      </c>
      <c r="I71" s="388">
        <v>8.3598492881999997E-2</v>
      </c>
      <c r="J71" s="388">
        <v>0.33451371000000002</v>
      </c>
      <c r="K71" s="388">
        <v>4.6100000000000002E-2</v>
      </c>
      <c r="L71" s="388">
        <v>0.39399406256446895</v>
      </c>
      <c r="M71" s="388">
        <v>6.4350731327572117E-2</v>
      </c>
      <c r="N71" s="389">
        <v>2.9040186636253518</v>
      </c>
      <c r="O71" s="389">
        <v>0.75520684359274648</v>
      </c>
      <c r="P71" s="389">
        <v>10.397735473601507</v>
      </c>
      <c r="Q71" s="389">
        <v>16.421916183099704</v>
      </c>
      <c r="R71" s="389">
        <v>2.8944727877575707</v>
      </c>
      <c r="S71" s="389">
        <v>36.483278599999998</v>
      </c>
      <c r="T71" s="388">
        <v>0.10752160236169714</v>
      </c>
      <c r="U71" s="388">
        <v>2.2652478057767655E-2</v>
      </c>
      <c r="V71" s="388">
        <v>2.1020300878887239E-2</v>
      </c>
      <c r="W71" s="388">
        <v>1.0314650538736796</v>
      </c>
      <c r="X71" s="388">
        <v>0.19260111779115149</v>
      </c>
      <c r="Y71" s="388">
        <v>0.28625661361343707</v>
      </c>
      <c r="Z71" s="388">
        <v>0.28625661361343702</v>
      </c>
    </row>
    <row r="72" spans="1:26" s="322" customFormat="1" ht="13">
      <c r="A72" s="386" t="s">
        <v>582</v>
      </c>
      <c r="B72" s="387">
        <v>53</v>
      </c>
      <c r="C72" s="388">
        <v>4.1309743589999996E-2</v>
      </c>
      <c r="D72" s="388">
        <v>9.7645628559696149E-2</v>
      </c>
      <c r="E72" s="388">
        <v>0.19721311757130242</v>
      </c>
      <c r="F72" s="388">
        <v>0.34841079204001585</v>
      </c>
      <c r="G72" s="389">
        <v>0.66045221826691236</v>
      </c>
      <c r="H72" s="389">
        <v>0.75116196000000002</v>
      </c>
      <c r="I72" s="388">
        <v>7.0672041520000006E-2</v>
      </c>
      <c r="J72" s="388">
        <v>0.30984851099999999</v>
      </c>
      <c r="K72" s="388">
        <v>4.6100000000000002E-2</v>
      </c>
      <c r="L72" s="388">
        <v>0.17444743171457133</v>
      </c>
      <c r="M72" s="388">
        <v>6.4404760832769317E-2</v>
      </c>
      <c r="N72" s="389">
        <v>2.6072598911769873</v>
      </c>
      <c r="O72" s="389">
        <v>1.7344873465107928</v>
      </c>
      <c r="P72" s="389">
        <v>12.636424533967544</v>
      </c>
      <c r="Q72" s="389">
        <v>17.745109590513103</v>
      </c>
      <c r="R72" s="389">
        <v>9.5477949368050581</v>
      </c>
      <c r="S72" s="389">
        <v>28.044053399999999</v>
      </c>
      <c r="T72" s="388">
        <v>6.3987483473177509E-2</v>
      </c>
      <c r="U72" s="388">
        <v>2.0423002474751189E-2</v>
      </c>
      <c r="V72" s="388">
        <v>4.4028709403532594E-3</v>
      </c>
      <c r="W72" s="388">
        <v>0.10920413461102862</v>
      </c>
      <c r="X72" s="388">
        <v>0.3618144913294577</v>
      </c>
      <c r="Y72" s="388">
        <v>0.42826959548359211</v>
      </c>
      <c r="Z72" s="388">
        <v>0.42826959548359211</v>
      </c>
    </row>
    <row r="73" spans="1:26" s="322" customFormat="1" ht="13">
      <c r="A73" s="386" t="s">
        <v>583</v>
      </c>
      <c r="B73" s="387">
        <v>976</v>
      </c>
      <c r="C73" s="388">
        <v>7.7510127659999997E-2</v>
      </c>
      <c r="D73" s="388">
        <v>4.1873469594385815E-2</v>
      </c>
      <c r="E73" s="388">
        <v>6.2600536899877185E-2</v>
      </c>
      <c r="F73" s="388">
        <v>0.24914259677408504</v>
      </c>
      <c r="G73" s="389">
        <v>0.63531115011641592</v>
      </c>
      <c r="H73" s="389">
        <v>0.89961054799999995</v>
      </c>
      <c r="I73" s="388">
        <v>7.9875853976E-2</v>
      </c>
      <c r="J73" s="388">
        <v>0.37404559500000001</v>
      </c>
      <c r="K73" s="388">
        <v>4.6100000000000002E-2</v>
      </c>
      <c r="L73" s="388">
        <v>0.42428273145994527</v>
      </c>
      <c r="M73" s="388">
        <v>6.0727853819099717E-2</v>
      </c>
      <c r="N73" s="389">
        <v>1.8230379972995268</v>
      </c>
      <c r="O73" s="389">
        <v>0.80301734399790592</v>
      </c>
      <c r="P73" s="389">
        <v>12.162779953148641</v>
      </c>
      <c r="Q73" s="389">
        <v>18.596799196399772</v>
      </c>
      <c r="R73" s="389">
        <v>1.4969591976243117</v>
      </c>
      <c r="S73" s="389">
        <v>66.263704680000004</v>
      </c>
      <c r="T73" s="388">
        <v>0.1520904517374021</v>
      </c>
      <c r="U73" s="388">
        <v>2.731980181447444E-2</v>
      </c>
      <c r="V73" s="388">
        <v>2.3205644708110696E-2</v>
      </c>
      <c r="W73" s="388">
        <v>1.1013473938298093</v>
      </c>
      <c r="X73" s="388">
        <v>0.10190945501271578</v>
      </c>
      <c r="Y73" s="388">
        <v>0.37648674522096032</v>
      </c>
      <c r="Z73" s="388">
        <v>0.37648674522096037</v>
      </c>
    </row>
    <row r="74" spans="1:26" s="322" customFormat="1" ht="13">
      <c r="A74" s="386" t="s">
        <v>584</v>
      </c>
      <c r="B74" s="387">
        <v>217</v>
      </c>
      <c r="C74" s="388">
        <v>3.6947849460000001E-2</v>
      </c>
      <c r="D74" s="388">
        <v>4.1181894326900614E-2</v>
      </c>
      <c r="E74" s="388">
        <v>8.3351929103855929E-2</v>
      </c>
      <c r="F74" s="388">
        <v>0.31214932925595923</v>
      </c>
      <c r="G74" s="389">
        <v>0.92335550399577093</v>
      </c>
      <c r="H74" s="389">
        <v>1.177052937</v>
      </c>
      <c r="I74" s="388">
        <v>9.7077282094000003E-2</v>
      </c>
      <c r="J74" s="388">
        <v>0.306129225</v>
      </c>
      <c r="K74" s="388">
        <v>4.6100000000000002E-2</v>
      </c>
      <c r="L74" s="388">
        <v>0.31215391928606023</v>
      </c>
      <c r="M74" s="388">
        <v>7.7620193868047582E-2</v>
      </c>
      <c r="N74" s="389">
        <v>2.6230450958023153</v>
      </c>
      <c r="O74" s="389">
        <v>0.81853100455402261</v>
      </c>
      <c r="P74" s="389">
        <v>9.7181865819768571</v>
      </c>
      <c r="Q74" s="389">
        <v>19.701174049768728</v>
      </c>
      <c r="R74" s="389">
        <v>2.5406941597039379</v>
      </c>
      <c r="S74" s="389">
        <v>35.157174300000001</v>
      </c>
      <c r="T74" s="388">
        <v>3.9629126421466153E-3</v>
      </c>
      <c r="U74" s="388">
        <v>2.9834824711088608E-2</v>
      </c>
      <c r="V74" s="388">
        <v>8.7852139295224174E-3</v>
      </c>
      <c r="W74" s="388">
        <v>0.28678964589095091</v>
      </c>
      <c r="X74" s="388">
        <v>0.11640698466850939</v>
      </c>
      <c r="Y74" s="388">
        <v>0.49678929989867027</v>
      </c>
      <c r="Z74" s="388">
        <v>0.49678929989867027</v>
      </c>
    </row>
    <row r="75" spans="1:26" s="322" customFormat="1" ht="13">
      <c r="A75" s="386" t="s">
        <v>585</v>
      </c>
      <c r="B75" s="387">
        <v>168</v>
      </c>
      <c r="C75" s="388">
        <v>0.10681804509999999</v>
      </c>
      <c r="D75" s="388">
        <v>3.4391036496398977E-2</v>
      </c>
      <c r="E75" s="388">
        <v>8.8859550786180491E-2</v>
      </c>
      <c r="F75" s="388">
        <v>0.26639224451700899</v>
      </c>
      <c r="G75" s="389">
        <v>0.68155377063582101</v>
      </c>
      <c r="H75" s="389">
        <v>0.89199135799999996</v>
      </c>
      <c r="I75" s="388">
        <v>7.9403464196000001E-2</v>
      </c>
      <c r="J75" s="388">
        <v>0.28971526399999997</v>
      </c>
      <c r="K75" s="388">
        <v>4.6100000000000002E-2</v>
      </c>
      <c r="L75" s="388">
        <v>0.35478922027931376</v>
      </c>
      <c r="M75" s="388">
        <v>6.355932473488507E-2</v>
      </c>
      <c r="N75" s="389">
        <v>3.3869898034766934</v>
      </c>
      <c r="O75" s="389">
        <v>0.64202017280800838</v>
      </c>
      <c r="P75" s="389">
        <v>8.3981765355567877</v>
      </c>
      <c r="Q75" s="389">
        <v>18.494336284819465</v>
      </c>
      <c r="R75" s="389">
        <v>2.0722958625021839</v>
      </c>
      <c r="S75" s="389">
        <v>36.178670310000001</v>
      </c>
      <c r="T75" s="388">
        <v>-3.0719905314938088E-2</v>
      </c>
      <c r="U75" s="388">
        <v>2.9348027070114767E-2</v>
      </c>
      <c r="V75" s="388">
        <v>1.3261097015754664E-2</v>
      </c>
      <c r="W75" s="388">
        <v>0.37444828047230122</v>
      </c>
      <c r="X75" s="388">
        <v>0.11976316519805219</v>
      </c>
      <c r="Y75" s="388">
        <v>0.42654283170463969</v>
      </c>
      <c r="Z75" s="388">
        <v>0.42654283170463969</v>
      </c>
    </row>
    <row r="76" spans="1:26" s="322" customFormat="1" ht="13">
      <c r="A76" s="386" t="s">
        <v>586</v>
      </c>
      <c r="B76" s="387">
        <v>200</v>
      </c>
      <c r="C76" s="388">
        <v>0.1329456383</v>
      </c>
      <c r="D76" s="388">
        <v>4.4685377818155278E-2</v>
      </c>
      <c r="E76" s="388">
        <v>0.12753692414995654</v>
      </c>
      <c r="F76" s="388">
        <v>0.25427985682436005</v>
      </c>
      <c r="G76" s="389">
        <v>1.1810196308170502</v>
      </c>
      <c r="H76" s="389">
        <v>1.2360998670000001</v>
      </c>
      <c r="I76" s="388">
        <v>0.10073819175400001</v>
      </c>
      <c r="J76" s="388">
        <v>0.499550877</v>
      </c>
      <c r="K76" s="388">
        <v>4.9099999999999998E-2</v>
      </c>
      <c r="L76" s="388">
        <v>0.10874387781643159</v>
      </c>
      <c r="M76" s="388">
        <v>9.3807778939327777E-2</v>
      </c>
      <c r="N76" s="389">
        <v>3.2724633411975992</v>
      </c>
      <c r="O76" s="389">
        <v>3.1602612212648862</v>
      </c>
      <c r="P76" s="389">
        <v>29.718955220773307</v>
      </c>
      <c r="Q76" s="389">
        <v>74.593342633069327</v>
      </c>
      <c r="R76" s="389">
        <v>7.8370772586968185</v>
      </c>
      <c r="S76" s="389">
        <v>65.247056349999994</v>
      </c>
      <c r="T76" s="388">
        <v>9.4563955565773027E-3</v>
      </c>
      <c r="U76" s="388">
        <v>4.338656328443101E-2</v>
      </c>
      <c r="V76" s="388">
        <v>4.138755784592666E-2</v>
      </c>
      <c r="W76" s="388">
        <v>1.5578118356953579</v>
      </c>
      <c r="X76" s="388">
        <v>0.14098354347470338</v>
      </c>
      <c r="Y76" s="388">
        <v>0.11506585636355893</v>
      </c>
      <c r="Z76" s="388">
        <v>0.11506585636355893</v>
      </c>
    </row>
    <row r="77" spans="1:26" s="322" customFormat="1" ht="13">
      <c r="A77" s="386" t="s">
        <v>587</v>
      </c>
      <c r="B77" s="387">
        <v>503</v>
      </c>
      <c r="C77" s="388">
        <v>3.3743278240000001E-2</v>
      </c>
      <c r="D77" s="388">
        <v>6.2229059321321896E-2</v>
      </c>
      <c r="E77" s="388">
        <v>0.11952483206445469</v>
      </c>
      <c r="F77" s="388">
        <v>0.3012251105456471</v>
      </c>
      <c r="G77" s="389">
        <v>0.81861504122222017</v>
      </c>
      <c r="H77" s="389">
        <v>0.98219857600000005</v>
      </c>
      <c r="I77" s="388">
        <v>8.4996311712000006E-2</v>
      </c>
      <c r="J77" s="388">
        <v>0.393998923</v>
      </c>
      <c r="K77" s="388">
        <v>4.6100000000000002E-2</v>
      </c>
      <c r="L77" s="388">
        <v>0.26473573662516403</v>
      </c>
      <c r="M77" s="388">
        <v>7.1693144588912835E-2</v>
      </c>
      <c r="N77" s="389">
        <v>2.4437108116136277</v>
      </c>
      <c r="O77" s="389">
        <v>1.051230467803191</v>
      </c>
      <c r="P77" s="389">
        <v>9.0146636185681555</v>
      </c>
      <c r="Q77" s="389">
        <v>16.788592369425153</v>
      </c>
      <c r="R77" s="389">
        <v>3.187537365080356</v>
      </c>
      <c r="S77" s="389">
        <v>41.908195169999999</v>
      </c>
      <c r="T77" s="388">
        <v>6.8094323982940977E-2</v>
      </c>
      <c r="U77" s="388">
        <v>2.0222415958007244E-2</v>
      </c>
      <c r="V77" s="388">
        <v>6.1719836968052505E-3</v>
      </c>
      <c r="W77" s="388">
        <v>0.12457757085440919</v>
      </c>
      <c r="X77" s="388">
        <v>0.14605964915420019</v>
      </c>
      <c r="Y77" s="388">
        <v>0.41205213391860546</v>
      </c>
      <c r="Z77" s="388">
        <v>0.4120521339186054</v>
      </c>
    </row>
    <row r="78" spans="1:26" s="322" customFormat="1" ht="13">
      <c r="A78" s="386" t="s">
        <v>588</v>
      </c>
      <c r="B78" s="387">
        <v>94</v>
      </c>
      <c r="C78" s="388">
        <v>-9.3327142900000003E-3</v>
      </c>
      <c r="D78" s="388">
        <v>0.1000542114417117</v>
      </c>
      <c r="E78" s="388">
        <v>0.11116731442991047</v>
      </c>
      <c r="F78" s="388">
        <v>0.26210753215773319</v>
      </c>
      <c r="G78" s="389">
        <v>0.82296204565389142</v>
      </c>
      <c r="H78" s="389">
        <v>0.96657565700000003</v>
      </c>
      <c r="I78" s="388">
        <v>8.4027690734000002E-2</v>
      </c>
      <c r="J78" s="388">
        <v>0.29255019700000001</v>
      </c>
      <c r="K78" s="388">
        <v>4.6100000000000002E-2</v>
      </c>
      <c r="L78" s="388">
        <v>0.25292410920274516</v>
      </c>
      <c r="M78" s="388">
        <v>7.156305424773092E-2</v>
      </c>
      <c r="N78" s="389">
        <v>1.3469919916519175</v>
      </c>
      <c r="O78" s="389">
        <v>1.2537303935579298</v>
      </c>
      <c r="P78" s="389">
        <v>7.7683372639374797</v>
      </c>
      <c r="Q78" s="389">
        <v>12.475038377901056</v>
      </c>
      <c r="R78" s="389">
        <v>1.8279911733392455</v>
      </c>
      <c r="S78" s="389">
        <v>29.835609229999999</v>
      </c>
      <c r="T78" s="388">
        <v>0.20613794955001224</v>
      </c>
      <c r="U78" s="388">
        <v>4.9096672742098738E-2</v>
      </c>
      <c r="V78" s="388">
        <v>2.1049378421599398E-2</v>
      </c>
      <c r="W78" s="388">
        <v>0.48273018625691638</v>
      </c>
      <c r="X78" s="388">
        <v>0.12078817226319968</v>
      </c>
      <c r="Y78" s="388">
        <v>0.35783652751413686</v>
      </c>
      <c r="Z78" s="388">
        <v>0.35783652751413686</v>
      </c>
    </row>
    <row r="79" spans="1:26" s="322" customFormat="1" ht="13">
      <c r="A79" s="386" t="s">
        <v>589</v>
      </c>
      <c r="B79" s="387">
        <v>542</v>
      </c>
      <c r="C79" s="388">
        <v>6.0350644389999999E-2</v>
      </c>
      <c r="D79" s="388">
        <v>0.20779661779547812</v>
      </c>
      <c r="E79" s="388">
        <v>0.14713502607644779</v>
      </c>
      <c r="F79" s="388">
        <v>0.16443022819549682</v>
      </c>
      <c r="G79" s="389">
        <v>1.4573838227287315</v>
      </c>
      <c r="H79" s="389">
        <v>1.493767061</v>
      </c>
      <c r="I79" s="388">
        <v>0.116713557782</v>
      </c>
      <c r="J79" s="388">
        <v>0.37936019700000001</v>
      </c>
      <c r="K79" s="388">
        <v>4.6100000000000002E-2</v>
      </c>
      <c r="L79" s="388">
        <v>0.13527750162287586</v>
      </c>
      <c r="M79" s="388">
        <v>0.10562513318179663</v>
      </c>
      <c r="N79" s="389">
        <v>0.78788530874721174</v>
      </c>
      <c r="O79" s="389">
        <v>3.8662893422670828</v>
      </c>
      <c r="P79" s="389">
        <v>11.183595294139142</v>
      </c>
      <c r="Q79" s="389">
        <v>18.464344338087876</v>
      </c>
      <c r="R79" s="389">
        <v>3.0751681642350004</v>
      </c>
      <c r="S79" s="389">
        <v>54.906211130000003</v>
      </c>
      <c r="T79" s="388">
        <v>0.19790964891274621</v>
      </c>
      <c r="U79" s="388">
        <v>0.15316417480330249</v>
      </c>
      <c r="V79" s="388">
        <v>0.14814144073543195</v>
      </c>
      <c r="W79" s="388">
        <v>1.0891004039362056</v>
      </c>
      <c r="X79" s="388">
        <v>0.17423483309295823</v>
      </c>
      <c r="Y79" s="388">
        <v>0.38463792285449505</v>
      </c>
      <c r="Z79" s="388">
        <v>0.38463792285449505</v>
      </c>
    </row>
    <row r="80" spans="1:26" s="322" customFormat="1" ht="13">
      <c r="A80" s="386" t="s">
        <v>590</v>
      </c>
      <c r="B80" s="387">
        <v>284</v>
      </c>
      <c r="C80" s="388">
        <v>7.9218155339999999E-2</v>
      </c>
      <c r="D80" s="388">
        <v>0.19310206661689577</v>
      </c>
      <c r="E80" s="388">
        <v>0.20226950225206691</v>
      </c>
      <c r="F80" s="388">
        <v>0.15496433445232374</v>
      </c>
      <c r="G80" s="389">
        <v>1.2868465078311861</v>
      </c>
      <c r="H80" s="389">
        <v>1.2832903790000001</v>
      </c>
      <c r="I80" s="388">
        <v>0.10366400349800001</v>
      </c>
      <c r="J80" s="388">
        <v>0.438838163</v>
      </c>
      <c r="K80" s="388">
        <v>4.9099999999999998E-2</v>
      </c>
      <c r="L80" s="388">
        <v>9.4985787306297184E-2</v>
      </c>
      <c r="M80" s="388">
        <v>9.7332504195954059E-2</v>
      </c>
      <c r="N80" s="389">
        <v>1.1889353133533975</v>
      </c>
      <c r="O80" s="389">
        <v>3.1985028844096495</v>
      </c>
      <c r="P80" s="389">
        <v>13.319866506139887</v>
      </c>
      <c r="Q80" s="389">
        <v>17.095376515498494</v>
      </c>
      <c r="R80" s="389">
        <v>3.9238465353868368</v>
      </c>
      <c r="S80" s="389">
        <v>39.930526759999999</v>
      </c>
      <c r="T80" s="388">
        <v>0.25991135135674864</v>
      </c>
      <c r="U80" s="388">
        <v>5.5195894032657851E-2</v>
      </c>
      <c r="V80" s="388">
        <v>7.7202157595702744E-2</v>
      </c>
      <c r="W80" s="388">
        <v>0.68060674798411513</v>
      </c>
      <c r="X80" s="388">
        <v>0.23575881002462415</v>
      </c>
      <c r="Y80" s="388">
        <v>0.21485302121293742</v>
      </c>
      <c r="Z80" s="388">
        <v>0.21485302121293737</v>
      </c>
    </row>
    <row r="81" spans="1:26" s="322" customFormat="1" ht="13">
      <c r="A81" s="386" t="s">
        <v>591</v>
      </c>
      <c r="B81" s="387">
        <v>342</v>
      </c>
      <c r="C81" s="388">
        <v>2.042768939E-2</v>
      </c>
      <c r="D81" s="388">
        <v>6.9292432884679622E-2</v>
      </c>
      <c r="E81" s="388">
        <v>4.5150505682705108E-2</v>
      </c>
      <c r="F81" s="388">
        <v>0.17980259555864425</v>
      </c>
      <c r="G81" s="389">
        <v>0.96906847376902372</v>
      </c>
      <c r="H81" s="389">
        <v>1.3530157949999999</v>
      </c>
      <c r="I81" s="388">
        <v>0.10798697928999999</v>
      </c>
      <c r="J81" s="388">
        <v>0.35848374999999999</v>
      </c>
      <c r="K81" s="388">
        <v>4.6100000000000002E-2</v>
      </c>
      <c r="L81" s="388">
        <v>0.41483885105301144</v>
      </c>
      <c r="M81" s="388">
        <v>7.7603597210633049E-2</v>
      </c>
      <c r="N81" s="389">
        <v>0.74934303511740397</v>
      </c>
      <c r="O81" s="389">
        <v>1.818665936298089</v>
      </c>
      <c r="P81" s="389">
        <v>10.850683189500851</v>
      </c>
      <c r="Q81" s="389">
        <v>25.689386350768817</v>
      </c>
      <c r="R81" s="389">
        <v>1.3433617493975434</v>
      </c>
      <c r="S81" s="389">
        <v>36.155536830000003</v>
      </c>
      <c r="T81" s="388">
        <v>5.2590800891500741E-2</v>
      </c>
      <c r="U81" s="388">
        <v>0.10387636654806026</v>
      </c>
      <c r="V81" s="388">
        <v>7.2556625434895675E-2</v>
      </c>
      <c r="W81" s="388">
        <v>1.3525646568672123</v>
      </c>
      <c r="X81" s="388">
        <v>1.1863485782007969E-2</v>
      </c>
      <c r="Y81" s="388">
        <v>4.6840472623964144</v>
      </c>
      <c r="Z81" s="388">
        <v>4.6840472623964144</v>
      </c>
    </row>
    <row r="82" spans="1:26" s="322" customFormat="1" ht="13">
      <c r="A82" s="386" t="s">
        <v>592</v>
      </c>
      <c r="B82" s="387">
        <v>85</v>
      </c>
      <c r="C82" s="388">
        <v>1.3184769229999999E-2</v>
      </c>
      <c r="D82" s="388">
        <v>9.6127605323011192E-2</v>
      </c>
      <c r="E82" s="388">
        <v>0.14674178513213698</v>
      </c>
      <c r="F82" s="388">
        <v>0.16358734224885521</v>
      </c>
      <c r="G82" s="389">
        <v>1.0794114181989618</v>
      </c>
      <c r="H82" s="389">
        <v>1.1074860929999999</v>
      </c>
      <c r="I82" s="388">
        <v>9.2764137765999996E-2</v>
      </c>
      <c r="J82" s="388">
        <v>0.37934022099999998</v>
      </c>
      <c r="K82" s="388">
        <v>4.6100000000000002E-2</v>
      </c>
      <c r="L82" s="388">
        <v>0.11167926085871867</v>
      </c>
      <c r="M82" s="388">
        <v>8.6284667001811644E-2</v>
      </c>
      <c r="N82" s="389">
        <v>1.8663019279196149</v>
      </c>
      <c r="O82" s="389">
        <v>2.0422021672399286</v>
      </c>
      <c r="P82" s="389">
        <v>14.666517224331169</v>
      </c>
      <c r="Q82" s="389">
        <v>21.169305859269286</v>
      </c>
      <c r="R82" s="389">
        <v>4.0529459072106722</v>
      </c>
      <c r="S82" s="389">
        <v>36.449472829999998</v>
      </c>
      <c r="T82" s="388">
        <v>0.19630532078720159</v>
      </c>
      <c r="U82" s="388">
        <v>1.728506468251622E-2</v>
      </c>
      <c r="V82" s="388">
        <v>-3.7442164354181007E-3</v>
      </c>
      <c r="W82" s="388">
        <v>3.3963037892558383E-2</v>
      </c>
      <c r="X82" s="388">
        <v>0.17698645815253425</v>
      </c>
      <c r="Y82" s="388">
        <v>0.35851545522913003</v>
      </c>
      <c r="Z82" s="388">
        <v>0.35851545522913009</v>
      </c>
    </row>
    <row r="83" spans="1:26" s="322" customFormat="1" ht="13">
      <c r="A83" s="386" t="s">
        <v>593</v>
      </c>
      <c r="B83" s="387">
        <v>128</v>
      </c>
      <c r="C83" s="388">
        <v>0.10000205879999999</v>
      </c>
      <c r="D83" s="388">
        <v>0.20415693279562605</v>
      </c>
      <c r="E83" s="388">
        <v>0.19264075737429581</v>
      </c>
      <c r="F83" s="388">
        <v>0.20479587879885947</v>
      </c>
      <c r="G83" s="389">
        <v>1.3554355405522531</v>
      </c>
      <c r="H83" s="389">
        <v>1.2662919580000001</v>
      </c>
      <c r="I83" s="388">
        <v>0.10261010139600001</v>
      </c>
      <c r="J83" s="388">
        <v>0.51492726300000002</v>
      </c>
      <c r="K83" s="388">
        <v>4.9099999999999998E-2</v>
      </c>
      <c r="L83" s="388">
        <v>4.1822700482559587E-2</v>
      </c>
      <c r="M83" s="388">
        <v>9.986638873409695E-2</v>
      </c>
      <c r="N83" s="389">
        <v>1.0487005952613677</v>
      </c>
      <c r="O83" s="389">
        <v>5.2831682950591476</v>
      </c>
      <c r="P83" s="389">
        <v>21.106301092824545</v>
      </c>
      <c r="Q83" s="389">
        <v>26.24787255552285</v>
      </c>
      <c r="R83" s="389">
        <v>4.3269181678128925</v>
      </c>
      <c r="S83" s="389">
        <v>55.136495580000002</v>
      </c>
      <c r="T83" s="388">
        <v>0.13399986087979313</v>
      </c>
      <c r="U83" s="388">
        <v>2.8309212879041794E-2</v>
      </c>
      <c r="V83" s="388">
        <v>2.4590668777913507E-2</v>
      </c>
      <c r="W83" s="388">
        <v>0.31443089505739319</v>
      </c>
      <c r="X83" s="388">
        <v>0.13822256936721006</v>
      </c>
      <c r="Y83" s="388">
        <v>0.23432865348417942</v>
      </c>
      <c r="Z83" s="388">
        <v>0.23432865348417942</v>
      </c>
    </row>
    <row r="84" spans="1:26" s="322" customFormat="1" ht="13">
      <c r="A84" s="386" t="s">
        <v>594</v>
      </c>
      <c r="B84" s="387">
        <v>880</v>
      </c>
      <c r="C84" s="388">
        <v>0.13853149170000001</v>
      </c>
      <c r="D84" s="388">
        <v>0.23528047989478598</v>
      </c>
      <c r="E84" s="388">
        <v>0.17405113184460957</v>
      </c>
      <c r="F84" s="388">
        <v>0.17976687262725335</v>
      </c>
      <c r="G84" s="389">
        <v>1.2479131183215841</v>
      </c>
      <c r="H84" s="389">
        <v>1.24456798</v>
      </c>
      <c r="I84" s="388">
        <v>0.10126321476</v>
      </c>
      <c r="J84" s="388">
        <v>0.57288975099999995</v>
      </c>
      <c r="K84" s="388">
        <v>4.9099999999999998E-2</v>
      </c>
      <c r="L84" s="388">
        <v>3.7309298532306537E-2</v>
      </c>
      <c r="M84" s="388">
        <v>9.8865848148894639E-2</v>
      </c>
      <c r="N84" s="389">
        <v>0.80067116450264275</v>
      </c>
      <c r="O84" s="389">
        <v>7.8152130185061246</v>
      </c>
      <c r="P84" s="389">
        <v>24.243887508950102</v>
      </c>
      <c r="Q84" s="389">
        <v>33.945512857943605</v>
      </c>
      <c r="R84" s="389">
        <v>5.5816166748886928</v>
      </c>
      <c r="S84" s="389">
        <v>95.107756050000006</v>
      </c>
      <c r="T84" s="388">
        <v>5.0971767029777355E-2</v>
      </c>
      <c r="U84" s="388">
        <v>8.0128640050435018E-2</v>
      </c>
      <c r="V84" s="388">
        <v>6.0803161072783551E-2</v>
      </c>
      <c r="W84" s="388">
        <v>0.45257642177150326</v>
      </c>
      <c r="X84" s="388">
        <v>0.1856965558834138</v>
      </c>
      <c r="Y84" s="388">
        <v>5.4700299803783527E-2</v>
      </c>
      <c r="Z84" s="388">
        <v>5.4700299803783548E-2</v>
      </c>
    </row>
    <row r="85" spans="1:26" s="322" customFormat="1" ht="13">
      <c r="A85" s="386" t="s">
        <v>595</v>
      </c>
      <c r="B85" s="387">
        <v>1075</v>
      </c>
      <c r="C85" s="388">
        <v>0.1388290345</v>
      </c>
      <c r="D85" s="388">
        <v>0.19276661048892582</v>
      </c>
      <c r="E85" s="388">
        <v>0.15448735537838024</v>
      </c>
      <c r="F85" s="388">
        <v>0.16898075488260289</v>
      </c>
      <c r="G85" s="389">
        <v>1.111414438304829</v>
      </c>
      <c r="H85" s="389">
        <v>1.158174271</v>
      </c>
      <c r="I85" s="388">
        <v>9.5906804801999992E-2</v>
      </c>
      <c r="J85" s="388">
        <v>0.48587656499999998</v>
      </c>
      <c r="K85" s="388">
        <v>4.9099999999999998E-2</v>
      </c>
      <c r="L85" s="388">
        <v>0.10603711495720337</v>
      </c>
      <c r="M85" s="388">
        <v>8.9661204437005551E-2</v>
      </c>
      <c r="N85" s="389">
        <v>0.88125581196240188</v>
      </c>
      <c r="O85" s="389">
        <v>6.3640261287986428</v>
      </c>
      <c r="P85" s="389">
        <v>22.537548207787918</v>
      </c>
      <c r="Q85" s="389">
        <v>33.498267160092603</v>
      </c>
      <c r="R85" s="389">
        <v>5.896794907128454</v>
      </c>
      <c r="S85" s="389">
        <v>97.068528409999999</v>
      </c>
      <c r="T85" s="388">
        <v>0.13957336774749823</v>
      </c>
      <c r="U85" s="388">
        <v>5.1427354434784835E-2</v>
      </c>
      <c r="V85" s="388">
        <v>0.14178445874141982</v>
      </c>
      <c r="W85" s="388">
        <v>1.0476778918154825</v>
      </c>
      <c r="X85" s="388">
        <v>0.15069455293493056</v>
      </c>
      <c r="Y85" s="388">
        <v>0.47517957927414001</v>
      </c>
      <c r="Z85" s="388">
        <v>0.47517957927414001</v>
      </c>
    </row>
    <row r="86" spans="1:26" s="322" customFormat="1" ht="13">
      <c r="A86" s="386" t="s">
        <v>596</v>
      </c>
      <c r="B86" s="387">
        <v>735</v>
      </c>
      <c r="C86" s="388">
        <v>-1.326323689E-2</v>
      </c>
      <c r="D86" s="388">
        <v>8.114264751613702E-2</v>
      </c>
      <c r="E86" s="388">
        <v>8.8940439519546971E-2</v>
      </c>
      <c r="F86" s="388">
        <v>0.21770927315106497</v>
      </c>
      <c r="G86" s="389">
        <v>1.0012341664835214</v>
      </c>
      <c r="H86" s="389">
        <v>1.3099740710000001</v>
      </c>
      <c r="I86" s="388">
        <v>0.105318392402</v>
      </c>
      <c r="J86" s="388">
        <v>0.43088562200000002</v>
      </c>
      <c r="K86" s="388">
        <v>4.9099999999999998E-2</v>
      </c>
      <c r="L86" s="388">
        <v>0.3560562190378147</v>
      </c>
      <c r="M86" s="388">
        <v>8.0995578807583096E-2</v>
      </c>
      <c r="N86" s="389">
        <v>1.2772297776488248</v>
      </c>
      <c r="O86" s="389">
        <v>1.0231558074772726</v>
      </c>
      <c r="P86" s="389">
        <v>7.4207950004034622</v>
      </c>
      <c r="Q86" s="389">
        <v>12.232150391020342</v>
      </c>
      <c r="R86" s="389">
        <v>1.2866721099205238</v>
      </c>
      <c r="S86" s="389">
        <v>39.943788490000003</v>
      </c>
      <c r="T86" s="388">
        <v>0.14267866886641029</v>
      </c>
      <c r="U86" s="388">
        <v>4.7057889323529958E-2</v>
      </c>
      <c r="V86" s="388">
        <v>2.2093115353907018E-2</v>
      </c>
      <c r="W86" s="388">
        <v>0.7177281841625287</v>
      </c>
      <c r="X86" s="388">
        <v>9.6227136237747604E-2</v>
      </c>
      <c r="Y86" s="388">
        <v>0.34888301332607247</v>
      </c>
      <c r="Z86" s="388">
        <v>0.34888301332607252</v>
      </c>
    </row>
    <row r="87" spans="1:26" s="322" customFormat="1" ht="13">
      <c r="A87" s="386" t="s">
        <v>597</v>
      </c>
      <c r="B87" s="387">
        <v>106</v>
      </c>
      <c r="C87" s="388">
        <v>1.630283951E-2</v>
      </c>
      <c r="D87" s="388">
        <v>0.13516981121513194</v>
      </c>
      <c r="E87" s="388">
        <v>8.4075762224175912E-2</v>
      </c>
      <c r="F87" s="388">
        <v>0.32948159115695846</v>
      </c>
      <c r="G87" s="389">
        <v>0.87339035110783358</v>
      </c>
      <c r="H87" s="389">
        <v>1.1956932170000001</v>
      </c>
      <c r="I87" s="388">
        <v>9.8232979454000002E-2</v>
      </c>
      <c r="J87" s="388">
        <v>0.30876867299999999</v>
      </c>
      <c r="K87" s="388">
        <v>4.6100000000000002E-2</v>
      </c>
      <c r="L87" s="388">
        <v>0.36764699461895878</v>
      </c>
      <c r="M87" s="388">
        <v>7.4892024172093632E-2</v>
      </c>
      <c r="N87" s="389">
        <v>0.73895997264138835</v>
      </c>
      <c r="O87" s="389">
        <v>2.26614335560622</v>
      </c>
      <c r="P87" s="389">
        <v>6.6187477824879872</v>
      </c>
      <c r="Q87" s="389">
        <v>16.844333464439661</v>
      </c>
      <c r="R87" s="389">
        <v>1.7389931814529842</v>
      </c>
      <c r="S87" s="389">
        <v>37.849014570000001</v>
      </c>
      <c r="T87" s="388">
        <v>-1.5144578125923007E-2</v>
      </c>
      <c r="U87" s="388">
        <v>0.12132514259933308</v>
      </c>
      <c r="V87" s="388">
        <v>-2.5602022187656236E-2</v>
      </c>
      <c r="W87" s="388">
        <v>-9.9335202457409622E-2</v>
      </c>
      <c r="X87" s="388">
        <v>9.0673241211958591E-2</v>
      </c>
      <c r="Y87" s="388">
        <v>0.61855780419872752</v>
      </c>
      <c r="Z87" s="388">
        <v>0.61855780419872752</v>
      </c>
    </row>
    <row r="88" spans="1:26" s="322" customFormat="1" ht="13">
      <c r="A88" s="386" t="s">
        <v>598</v>
      </c>
      <c r="B88" s="387">
        <v>505</v>
      </c>
      <c r="C88" s="388">
        <v>4.9857052020000001E-2</v>
      </c>
      <c r="D88" s="388">
        <v>0.10193752105071821</v>
      </c>
      <c r="E88" s="388">
        <v>9.4895418455506586E-2</v>
      </c>
      <c r="F88" s="388">
        <v>0.20669702113881133</v>
      </c>
      <c r="G88" s="389">
        <v>1.2190893708221688</v>
      </c>
      <c r="H88" s="389">
        <v>1.266202791</v>
      </c>
      <c r="I88" s="388">
        <v>0.10260457304199999</v>
      </c>
      <c r="J88" s="388">
        <v>0.43646843699999999</v>
      </c>
      <c r="K88" s="388">
        <v>4.9099999999999998E-2</v>
      </c>
      <c r="L88" s="388">
        <v>0.15105738308296654</v>
      </c>
      <c r="M88" s="388">
        <v>9.2695525472745302E-2</v>
      </c>
      <c r="N88" s="389">
        <v>1.0291409334112602</v>
      </c>
      <c r="O88" s="389">
        <v>2.3674478750757459</v>
      </c>
      <c r="P88" s="389">
        <v>15.251937273026165</v>
      </c>
      <c r="Q88" s="389">
        <v>23.795204406387807</v>
      </c>
      <c r="R88" s="389">
        <v>2.8756658730485873</v>
      </c>
      <c r="S88" s="389">
        <v>69.662638939999994</v>
      </c>
      <c r="T88" s="388">
        <v>0.18914127444270171</v>
      </c>
      <c r="U88" s="388">
        <v>3.5236441608641519E-2</v>
      </c>
      <c r="V88" s="388">
        <v>4.1531214697949216E-2</v>
      </c>
      <c r="W88" s="388">
        <v>0.74418225591232112</v>
      </c>
      <c r="X88" s="388">
        <v>7.6996726550415395E-2</v>
      </c>
      <c r="Y88" s="388">
        <v>0.70412212370020755</v>
      </c>
      <c r="Z88" s="388">
        <v>0.70412212370020755</v>
      </c>
    </row>
    <row r="89" spans="1:26" s="322" customFormat="1" ht="13">
      <c r="A89" s="386" t="s">
        <v>599</v>
      </c>
      <c r="B89" s="387">
        <v>289</v>
      </c>
      <c r="C89" s="388">
        <v>8.0858655909999994E-2</v>
      </c>
      <c r="D89" s="388">
        <v>0.15224024908688624</v>
      </c>
      <c r="E89" s="388">
        <v>0.12689798329907365</v>
      </c>
      <c r="F89" s="388">
        <v>0.29187415573993103</v>
      </c>
      <c r="G89" s="389">
        <v>0.70311816207051026</v>
      </c>
      <c r="H89" s="389">
        <v>0.99752374600000004</v>
      </c>
      <c r="I89" s="388">
        <v>8.5946472252E-2</v>
      </c>
      <c r="J89" s="388">
        <v>0.35531917600000001</v>
      </c>
      <c r="K89" s="388">
        <v>4.6100000000000002E-2</v>
      </c>
      <c r="L89" s="388">
        <v>0.39563253734673487</v>
      </c>
      <c r="M89" s="388">
        <v>6.5689729379599091E-2</v>
      </c>
      <c r="N89" s="389">
        <v>0.96388170322692523</v>
      </c>
      <c r="O89" s="389">
        <v>2.1455452914742712</v>
      </c>
      <c r="P89" s="389">
        <v>6.547785501374336</v>
      </c>
      <c r="Q89" s="389">
        <v>14.081802687226524</v>
      </c>
      <c r="R89" s="389">
        <v>1.9561432306072852</v>
      </c>
      <c r="S89" s="389">
        <v>118.79739050000001</v>
      </c>
      <c r="T89" s="388">
        <v>-2.768903119782147E-2</v>
      </c>
      <c r="U89" s="388">
        <v>0.13163878534596096</v>
      </c>
      <c r="V89" s="388">
        <v>-1.5353172880087591E-2</v>
      </c>
      <c r="W89" s="388">
        <v>-3.3316716887354922E-2</v>
      </c>
      <c r="X89" s="388">
        <v>0.12507798280477395</v>
      </c>
      <c r="Y89" s="388">
        <v>0.78880360544614636</v>
      </c>
      <c r="Z89" s="388">
        <v>0.78880360544614636</v>
      </c>
    </row>
    <row r="90" spans="1:26" s="322" customFormat="1" ht="13">
      <c r="A90" s="386" t="s">
        <v>600</v>
      </c>
      <c r="B90" s="387">
        <v>62</v>
      </c>
      <c r="C90" s="388">
        <v>0.22610916670000003</v>
      </c>
      <c r="D90" s="388">
        <v>0.3119139763667183</v>
      </c>
      <c r="E90" s="388">
        <v>0.41083750051285256</v>
      </c>
      <c r="F90" s="388">
        <v>0.29124393795403414</v>
      </c>
      <c r="G90" s="389">
        <v>0.62731749550346128</v>
      </c>
      <c r="H90" s="389">
        <v>0.67994354499999998</v>
      </c>
      <c r="I90" s="388">
        <v>6.6256499789999992E-2</v>
      </c>
      <c r="J90" s="388">
        <v>0.279628288</v>
      </c>
      <c r="K90" s="388">
        <v>4.6100000000000002E-2</v>
      </c>
      <c r="L90" s="388">
        <v>0.12910028960047795</v>
      </c>
      <c r="M90" s="388">
        <v>6.2188429628530668E-2</v>
      </c>
      <c r="N90" s="389">
        <v>1.5471430728629569</v>
      </c>
      <c r="O90" s="389">
        <v>5.6247391517714638</v>
      </c>
      <c r="P90" s="389">
        <v>15.790436454551205</v>
      </c>
      <c r="Q90" s="389">
        <v>17.979602122535304</v>
      </c>
      <c r="R90" s="389">
        <v>11.354578735581013</v>
      </c>
      <c r="S90" s="389">
        <v>23.68251982</v>
      </c>
      <c r="T90" s="388">
        <v>0.21016583133069894</v>
      </c>
      <c r="U90" s="388">
        <v>3.7253449014630916E-2</v>
      </c>
      <c r="V90" s="388">
        <v>-1.7768818993427648E-2</v>
      </c>
      <c r="W90" s="388">
        <v>-9.5171014172348065E-2</v>
      </c>
      <c r="X90" s="388">
        <v>0.88582351131667847</v>
      </c>
      <c r="Y90" s="388">
        <v>0.59875453403018641</v>
      </c>
      <c r="Z90" s="388">
        <v>0.59875453403018641</v>
      </c>
    </row>
    <row r="91" spans="1:26" s="322" customFormat="1" ht="13">
      <c r="A91" s="386" t="s">
        <v>601</v>
      </c>
      <c r="B91" s="387">
        <v>235</v>
      </c>
      <c r="C91" s="388">
        <v>0.1027642938</v>
      </c>
      <c r="D91" s="388">
        <v>8.7223151171075167E-2</v>
      </c>
      <c r="E91" s="388">
        <v>0.1258027004781529</v>
      </c>
      <c r="F91" s="388">
        <v>0.26091712908302606</v>
      </c>
      <c r="G91" s="389">
        <v>1.0033226451194794</v>
      </c>
      <c r="H91" s="389">
        <v>1.208361207</v>
      </c>
      <c r="I91" s="388">
        <v>9.9018394834000004E-2</v>
      </c>
      <c r="J91" s="388">
        <v>0.32141587300000002</v>
      </c>
      <c r="K91" s="388">
        <v>4.6100000000000002E-2</v>
      </c>
      <c r="L91" s="388">
        <v>0.28637884794984775</v>
      </c>
      <c r="M91" s="388">
        <v>8.0612017303556729E-2</v>
      </c>
      <c r="N91" s="389">
        <v>1.7877685178240785</v>
      </c>
      <c r="O91" s="389">
        <v>1.5153979452366282</v>
      </c>
      <c r="P91" s="389">
        <v>10.627143414718466</v>
      </c>
      <c r="Q91" s="389">
        <v>17.019735953717834</v>
      </c>
      <c r="R91" s="389">
        <v>2.383571337567377</v>
      </c>
      <c r="S91" s="389">
        <v>80.252031180000003</v>
      </c>
      <c r="T91" s="388">
        <v>3.2158400809682505E-2</v>
      </c>
      <c r="U91" s="388">
        <v>4.844210320862842E-2</v>
      </c>
      <c r="V91" s="388">
        <v>9.3914520621465585E-3</v>
      </c>
      <c r="W91" s="388">
        <v>0.30841741840800801</v>
      </c>
      <c r="X91" s="388">
        <v>0.1570466340762281</v>
      </c>
      <c r="Y91" s="388">
        <v>0.46689644266017338</v>
      </c>
      <c r="Z91" s="388">
        <v>0.46689644266017338</v>
      </c>
    </row>
    <row r="92" spans="1:26" s="322" customFormat="1" ht="13">
      <c r="A92" s="386" t="s">
        <v>602</v>
      </c>
      <c r="B92" s="387">
        <v>51</v>
      </c>
      <c r="C92" s="388">
        <v>4.8872325580000001E-2</v>
      </c>
      <c r="D92" s="388">
        <v>0.23331065038209484</v>
      </c>
      <c r="E92" s="388">
        <v>9.5728293723852789E-2</v>
      </c>
      <c r="F92" s="388">
        <v>0.30320369912539658</v>
      </c>
      <c r="G92" s="389">
        <v>0.77448533453599366</v>
      </c>
      <c r="H92" s="389">
        <v>0.97455709599999996</v>
      </c>
      <c r="I92" s="388">
        <v>8.4522539952E-2</v>
      </c>
      <c r="J92" s="388">
        <v>0.240251722</v>
      </c>
      <c r="K92" s="388">
        <v>4.1099999999999998E-2</v>
      </c>
      <c r="L92" s="388">
        <v>0.27720930394542004</v>
      </c>
      <c r="M92" s="388">
        <v>6.9679237497175681E-2</v>
      </c>
      <c r="N92" s="389">
        <v>0.53454393424882163</v>
      </c>
      <c r="O92" s="389">
        <v>3.7131029488990031</v>
      </c>
      <c r="P92" s="389">
        <v>10.813230371868881</v>
      </c>
      <c r="Q92" s="389">
        <v>15.893062322044019</v>
      </c>
      <c r="R92" s="389">
        <v>2.6146816295565154</v>
      </c>
      <c r="S92" s="389">
        <v>26.544448469999999</v>
      </c>
      <c r="T92" s="388">
        <v>0.11765876079590834</v>
      </c>
      <c r="U92" s="388">
        <v>0.15730419391033915</v>
      </c>
      <c r="V92" s="388">
        <v>0.11639202893722979</v>
      </c>
      <c r="W92" s="388">
        <v>0.74758472996832692</v>
      </c>
      <c r="X92" s="388">
        <v>0.13927647589755565</v>
      </c>
      <c r="Y92" s="388">
        <v>0.29851938505191034</v>
      </c>
      <c r="Z92" s="388">
        <v>0.29851938505191034</v>
      </c>
    </row>
    <row r="93" spans="1:26" s="322" customFormat="1" ht="13">
      <c r="A93" s="386" t="s">
        <v>603</v>
      </c>
      <c r="B93" s="387">
        <v>199</v>
      </c>
      <c r="C93" s="388">
        <v>6.0395273969999996E-2</v>
      </c>
      <c r="D93" s="388">
        <v>6.7609792125375476E-2</v>
      </c>
      <c r="E93" s="388">
        <v>7.6893307518038648E-2</v>
      </c>
      <c r="F93" s="388">
        <v>0.29378851469294792</v>
      </c>
      <c r="G93" s="389">
        <v>0.621942285698874</v>
      </c>
      <c r="H93" s="389">
        <v>0.90233978800000003</v>
      </c>
      <c r="I93" s="388">
        <v>8.0045066856000005E-2</v>
      </c>
      <c r="J93" s="388">
        <v>0.31746524199999998</v>
      </c>
      <c r="K93" s="388">
        <v>4.6100000000000002E-2</v>
      </c>
      <c r="L93" s="388">
        <v>0.4128909820022289</v>
      </c>
      <c r="M93" s="388">
        <v>6.1341313114919291E-2</v>
      </c>
      <c r="N93" s="389">
        <v>1.4500567532294069</v>
      </c>
      <c r="O93" s="389">
        <v>1.3453999269710279</v>
      </c>
      <c r="P93" s="389">
        <v>10.092410431363394</v>
      </c>
      <c r="Q93" s="389">
        <v>19.83065987797783</v>
      </c>
      <c r="R93" s="389">
        <v>2.08756982472875</v>
      </c>
      <c r="S93" s="389">
        <v>34.271968829999999</v>
      </c>
      <c r="T93" s="388">
        <v>7.9289776563475065E-2</v>
      </c>
      <c r="U93" s="388">
        <v>8.6148156727105046E-2</v>
      </c>
      <c r="V93" s="388">
        <v>5.7533514944362374E-2</v>
      </c>
      <c r="W93" s="388">
        <v>1.3118547631270621</v>
      </c>
      <c r="X93" s="388">
        <v>9.558592285547525E-2</v>
      </c>
      <c r="Y93" s="388">
        <v>0.32241383479635266</v>
      </c>
      <c r="Z93" s="388">
        <v>0.32241383479635266</v>
      </c>
    </row>
    <row r="94" spans="1:26" s="322" customFormat="1" ht="13">
      <c r="A94" s="386" t="s">
        <v>604</v>
      </c>
      <c r="B94" s="387">
        <v>55</v>
      </c>
      <c r="C94" s="388">
        <v>1.2612156859999999E-2</v>
      </c>
      <c r="D94" s="388">
        <v>9.7371336741766318E-2</v>
      </c>
      <c r="E94" s="388">
        <v>6.353533651006954E-2</v>
      </c>
      <c r="F94" s="388">
        <v>0.29347829561161698</v>
      </c>
      <c r="G94" s="389">
        <v>0.50383357629855829</v>
      </c>
      <c r="H94" s="389">
        <v>0.78939999000000005</v>
      </c>
      <c r="I94" s="388">
        <v>7.3042799380000009E-2</v>
      </c>
      <c r="J94" s="388">
        <v>0.23141324599999999</v>
      </c>
      <c r="K94" s="388">
        <v>4.1099999999999998E-2</v>
      </c>
      <c r="L94" s="388">
        <v>0.46446380143659394</v>
      </c>
      <c r="M94" s="388">
        <v>5.3504790801962188E-2</v>
      </c>
      <c r="N94" s="389">
        <v>0.89355737233828769</v>
      </c>
      <c r="O94" s="389">
        <v>1.7824584521612816</v>
      </c>
      <c r="P94" s="389">
        <v>9.8089568271581253</v>
      </c>
      <c r="Q94" s="389">
        <v>18.3004135065936</v>
      </c>
      <c r="R94" s="389">
        <v>1.6780209322197297</v>
      </c>
      <c r="S94" s="389">
        <v>29.698924460000001</v>
      </c>
      <c r="T94" s="388">
        <v>-1.5054999234941135E-2</v>
      </c>
      <c r="U94" s="388">
        <v>0.12667520224638693</v>
      </c>
      <c r="V94" s="388">
        <v>6.3423516843355052E-2</v>
      </c>
      <c r="W94" s="388">
        <v>0.91442046442389124</v>
      </c>
      <c r="X94" s="388">
        <v>7.4385089658521295E-2</v>
      </c>
      <c r="Y94" s="388">
        <v>1.1507170224785372</v>
      </c>
      <c r="Z94" s="388">
        <v>1.1507170224785372</v>
      </c>
    </row>
    <row r="95" spans="1:26" s="322" customFormat="1" ht="13">
      <c r="A95" s="386" t="s">
        <v>605</v>
      </c>
      <c r="B95" s="387">
        <v>103</v>
      </c>
      <c r="C95" s="388">
        <v>0.1027774627</v>
      </c>
      <c r="D95" s="388">
        <v>0.26649782589285814</v>
      </c>
      <c r="E95" s="388">
        <v>8.2622440341348927E-2</v>
      </c>
      <c r="F95" s="388">
        <v>0.23132571361485413</v>
      </c>
      <c r="G95" s="389">
        <v>0.80811061505372039</v>
      </c>
      <c r="H95" s="389">
        <v>1.0937241179999999</v>
      </c>
      <c r="I95" s="388">
        <v>9.1910895315999996E-2</v>
      </c>
      <c r="J95" s="388">
        <v>0.318726552</v>
      </c>
      <c r="K95" s="388">
        <v>4.6100000000000002E-2</v>
      </c>
      <c r="L95" s="388">
        <v>0.36321002791363721</v>
      </c>
      <c r="M95" s="388">
        <v>7.1147875912283484E-2</v>
      </c>
      <c r="N95" s="389">
        <v>0.37302466000871276</v>
      </c>
      <c r="O95" s="389">
        <v>4.9835088934364746</v>
      </c>
      <c r="P95" s="389">
        <v>12.698447429638861</v>
      </c>
      <c r="Q95" s="389">
        <v>18.562865825554265</v>
      </c>
      <c r="R95" s="389">
        <v>1.9406849149862448</v>
      </c>
      <c r="S95" s="389">
        <v>42.018219049999999</v>
      </c>
      <c r="T95" s="388">
        <v>4.9034098625906845E-2</v>
      </c>
      <c r="U95" s="388">
        <v>0.20698375355731249</v>
      </c>
      <c r="V95" s="388">
        <v>0.1203903805399018</v>
      </c>
      <c r="W95" s="388">
        <v>0.95649968577124034</v>
      </c>
      <c r="X95" s="388">
        <v>0.11231240982561302</v>
      </c>
      <c r="Y95" s="388">
        <v>0.54931420129321229</v>
      </c>
      <c r="Z95" s="388">
        <v>0.44264678612395736</v>
      </c>
    </row>
  </sheetData>
  <pageMargins left="0.75" right="0.75" top="1" bottom="1" header="0.5" footer="0.5"/>
  <pageSetup orientation="portrait" horizontalDpi="4294967292" verticalDpi="4294967292"/>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201"/>
  <sheetViews>
    <sheetView topLeftCell="A156" workbookViewId="0">
      <selection activeCell="C37" sqref="C37"/>
    </sheetView>
  </sheetViews>
  <sheetFormatPr baseColWidth="10" defaultColWidth="11.5" defaultRowHeight="12"/>
  <cols>
    <col min="1" max="1" width="27.5" bestFit="1" customWidth="1"/>
    <col min="2" max="2" width="15" bestFit="1" customWidth="1"/>
    <col min="3" max="3" width="18.5" bestFit="1" customWidth="1"/>
    <col min="4" max="4" width="21" bestFit="1" customWidth="1"/>
    <col min="5" max="5" width="20" bestFit="1" customWidth="1"/>
    <col min="6" max="6" width="17.6640625" bestFit="1" customWidth="1"/>
    <col min="7" max="7" width="29.6640625" customWidth="1"/>
  </cols>
  <sheetData>
    <row r="1" spans="1:7" ht="16">
      <c r="A1" s="340" t="s">
        <v>354</v>
      </c>
      <c r="B1" s="341" t="s">
        <v>686</v>
      </c>
      <c r="C1" s="340" t="s">
        <v>355</v>
      </c>
      <c r="D1" s="340" t="s">
        <v>687</v>
      </c>
      <c r="E1" s="342" t="s">
        <v>356</v>
      </c>
      <c r="F1" s="342" t="s">
        <v>619</v>
      </c>
      <c r="G1" s="343" t="s">
        <v>357</v>
      </c>
    </row>
    <row r="2" spans="1:7" ht="16">
      <c r="A2" s="344" t="s">
        <v>487</v>
      </c>
      <c r="B2" s="341" t="s">
        <v>688</v>
      </c>
      <c r="C2" s="345">
        <v>5.0876316718389695E-3</v>
      </c>
      <c r="D2" s="346">
        <v>5.6520148206016904E-2</v>
      </c>
      <c r="E2" s="347">
        <v>5.7201482060169036E-3</v>
      </c>
      <c r="F2" s="347">
        <v>0</v>
      </c>
      <c r="G2" s="344" t="s">
        <v>365</v>
      </c>
    </row>
    <row r="3" spans="1:7" ht="16">
      <c r="A3" s="344" t="s">
        <v>250</v>
      </c>
      <c r="B3" s="341" t="s">
        <v>689</v>
      </c>
      <c r="C3" s="345">
        <v>4.6158694622684474E-2</v>
      </c>
      <c r="D3" s="346">
        <v>0.10269734463277155</v>
      </c>
      <c r="E3" s="347">
        <v>5.1897344632771548E-2</v>
      </c>
      <c r="F3" s="347">
        <v>0.15</v>
      </c>
      <c r="G3" s="344" t="s">
        <v>359</v>
      </c>
    </row>
    <row r="4" spans="1:7" ht="16">
      <c r="A4" s="344" t="s">
        <v>690</v>
      </c>
      <c r="B4" s="348" t="s">
        <v>100</v>
      </c>
      <c r="C4" s="345">
        <v>6.6699999999999995E-2</v>
      </c>
      <c r="D4" s="349">
        <v>0.12579243458467948</v>
      </c>
      <c r="E4" s="347">
        <v>7.4992434584679482E-2</v>
      </c>
      <c r="F4" s="350">
        <v>0.26</v>
      </c>
      <c r="G4" s="351" t="s">
        <v>360</v>
      </c>
    </row>
    <row r="5" spans="1:7" ht="16">
      <c r="A5" s="344" t="s">
        <v>506</v>
      </c>
      <c r="B5" s="341" t="s">
        <v>691</v>
      </c>
      <c r="C5" s="345">
        <v>1.9518005141054957E-2</v>
      </c>
      <c r="D5" s="346">
        <v>7.2744568572173943E-2</v>
      </c>
      <c r="E5" s="347">
        <v>2.1944568572173941E-2</v>
      </c>
      <c r="F5" s="347">
        <v>0</v>
      </c>
      <c r="G5" s="344" t="s">
        <v>358</v>
      </c>
    </row>
    <row r="6" spans="1:7" ht="16">
      <c r="A6" s="344" t="s">
        <v>251</v>
      </c>
      <c r="B6" s="341" t="s">
        <v>692</v>
      </c>
      <c r="C6" s="345">
        <v>5.6426460360395843E-2</v>
      </c>
      <c r="D6" s="346">
        <v>0.11424164373946019</v>
      </c>
      <c r="E6" s="347">
        <v>6.3441643739460193E-2</v>
      </c>
      <c r="F6" s="347">
        <v>0.3</v>
      </c>
      <c r="G6" s="344" t="s">
        <v>360</v>
      </c>
    </row>
    <row r="7" spans="1:7" ht="16">
      <c r="A7" s="352" t="s">
        <v>693</v>
      </c>
      <c r="B7" s="353" t="s">
        <v>100</v>
      </c>
      <c r="C7" s="354">
        <v>5.6135950527280355E-2</v>
      </c>
      <c r="D7" s="354">
        <v>0.11391501645825902</v>
      </c>
      <c r="E7" s="354">
        <v>6.311501645825901E-2</v>
      </c>
      <c r="F7" s="354">
        <v>0.24024843485035979</v>
      </c>
      <c r="G7" s="355" t="s">
        <v>364</v>
      </c>
    </row>
    <row r="8" spans="1:7" ht="16">
      <c r="A8" s="352" t="s">
        <v>694</v>
      </c>
      <c r="B8" s="353" t="s">
        <v>100</v>
      </c>
      <c r="C8" s="354">
        <v>5.6099999999999997E-2</v>
      </c>
      <c r="D8" s="356">
        <v>0.1139</v>
      </c>
      <c r="E8" s="356">
        <v>6.3100000000000003E-2</v>
      </c>
      <c r="F8" s="356">
        <v>0.2402</v>
      </c>
      <c r="G8" s="355" t="s">
        <v>364</v>
      </c>
    </row>
    <row r="9" spans="1:7" ht="16">
      <c r="A9" s="344" t="s">
        <v>252</v>
      </c>
      <c r="B9" s="341" t="s">
        <v>692</v>
      </c>
      <c r="C9" s="345">
        <v>5.6426460360395843E-2</v>
      </c>
      <c r="D9" s="346">
        <v>0.11424164373946019</v>
      </c>
      <c r="E9" s="347">
        <v>6.3441643739460193E-2</v>
      </c>
      <c r="F9" s="347">
        <v>0.35</v>
      </c>
      <c r="G9" s="344" t="s">
        <v>361</v>
      </c>
    </row>
    <row r="10" spans="1:7" ht="16">
      <c r="A10" s="344" t="s">
        <v>253</v>
      </c>
      <c r="B10" s="341" t="s">
        <v>689</v>
      </c>
      <c r="C10" s="345">
        <v>4.6158694622684474E-2</v>
      </c>
      <c r="D10" s="346">
        <v>0.10269734463277155</v>
      </c>
      <c r="E10" s="347">
        <v>5.1897344632771548E-2</v>
      </c>
      <c r="F10" s="347">
        <v>0.2</v>
      </c>
      <c r="G10" s="344" t="s">
        <v>359</v>
      </c>
    </row>
    <row r="11" spans="1:7" ht="16">
      <c r="A11" s="344" t="s">
        <v>254</v>
      </c>
      <c r="B11" s="341" t="s">
        <v>695</v>
      </c>
      <c r="C11" s="345">
        <v>1.637292374391814E-2</v>
      </c>
      <c r="D11" s="346">
        <v>6.9208476953908943E-2</v>
      </c>
      <c r="E11" s="347">
        <v>1.8408476953908945E-2</v>
      </c>
      <c r="F11" s="347">
        <v>0</v>
      </c>
      <c r="G11" s="344" t="s">
        <v>364</v>
      </c>
    </row>
    <row r="12" spans="1:7" ht="16">
      <c r="A12" s="344" t="s">
        <v>255</v>
      </c>
      <c r="B12" s="341" t="s">
        <v>696</v>
      </c>
      <c r="C12" s="345">
        <v>0</v>
      </c>
      <c r="D12" s="346">
        <v>5.0799999999999998E-2</v>
      </c>
      <c r="E12" s="347">
        <v>0</v>
      </c>
      <c r="F12" s="347">
        <v>0.3</v>
      </c>
      <c r="G12" s="344" t="s">
        <v>362</v>
      </c>
    </row>
    <row r="13" spans="1:7" ht="16">
      <c r="A13" s="344" t="s">
        <v>256</v>
      </c>
      <c r="B13" s="341" t="s">
        <v>697</v>
      </c>
      <c r="C13" s="345">
        <v>4.0701053374711752E-3</v>
      </c>
      <c r="D13" s="346">
        <v>5.5376118564813517E-2</v>
      </c>
      <c r="E13" s="347">
        <v>4.576118564813522E-3</v>
      </c>
      <c r="F13" s="347">
        <v>0.25</v>
      </c>
      <c r="G13" s="344" t="s">
        <v>358</v>
      </c>
    </row>
    <row r="14" spans="1:7" ht="16">
      <c r="A14" s="344" t="s">
        <v>363</v>
      </c>
      <c r="B14" s="341" t="s">
        <v>698</v>
      </c>
      <c r="C14" s="345">
        <v>3.0803297213134125E-2</v>
      </c>
      <c r="D14" s="346">
        <v>8.5432897320065981E-2</v>
      </c>
      <c r="E14" s="347">
        <v>3.4632897320065976E-2</v>
      </c>
      <c r="F14" s="347">
        <v>0.2</v>
      </c>
      <c r="G14" s="344" t="s">
        <v>359</v>
      </c>
    </row>
    <row r="15" spans="1:7" ht="16">
      <c r="A15" s="344" t="s">
        <v>257</v>
      </c>
      <c r="B15" s="341" t="s">
        <v>699</v>
      </c>
      <c r="C15" s="345">
        <v>2.2570584144158336E-2</v>
      </c>
      <c r="D15" s="346">
        <v>7.6176657495784075E-2</v>
      </c>
      <c r="E15" s="347">
        <v>2.5376657495784077E-2</v>
      </c>
      <c r="F15" s="347">
        <v>0</v>
      </c>
      <c r="G15" s="344" t="s">
        <v>364</v>
      </c>
    </row>
    <row r="16" spans="1:7" ht="16">
      <c r="A16" s="344" t="s">
        <v>258</v>
      </c>
      <c r="B16" s="341" t="s">
        <v>689</v>
      </c>
      <c r="C16" s="345">
        <v>4.6158694622684474E-2</v>
      </c>
      <c r="D16" s="346">
        <v>0.10269734463277155</v>
      </c>
      <c r="E16" s="347">
        <v>5.1897344632771548E-2</v>
      </c>
      <c r="F16" s="347">
        <v>0</v>
      </c>
      <c r="G16" s="344" t="s">
        <v>365</v>
      </c>
    </row>
    <row r="17" spans="1:7" ht="16">
      <c r="A17" s="344" t="s">
        <v>259</v>
      </c>
      <c r="B17" s="341" t="s">
        <v>700</v>
      </c>
      <c r="C17" s="345">
        <v>3.6908455219340892E-2</v>
      </c>
      <c r="D17" s="346">
        <v>9.2297075167286274E-2</v>
      </c>
      <c r="E17" s="347">
        <v>4.1497075167286269E-2</v>
      </c>
      <c r="F17" s="347">
        <v>0.25</v>
      </c>
      <c r="G17" s="344" t="s">
        <v>434</v>
      </c>
    </row>
    <row r="18" spans="1:7" ht="16">
      <c r="A18" s="344" t="s">
        <v>260</v>
      </c>
      <c r="B18" s="341" t="s">
        <v>701</v>
      </c>
      <c r="C18" s="345">
        <v>0.10249265258904688</v>
      </c>
      <c r="D18" s="346">
        <v>0.16603498567757691</v>
      </c>
      <c r="E18" s="347">
        <v>0.1152349856775769</v>
      </c>
      <c r="F18" s="347">
        <v>0.25</v>
      </c>
      <c r="G18" s="344" t="s">
        <v>364</v>
      </c>
    </row>
    <row r="19" spans="1:7" ht="16">
      <c r="A19" s="344" t="s">
        <v>261</v>
      </c>
      <c r="B19" s="341" t="s">
        <v>702</v>
      </c>
      <c r="C19" s="345">
        <v>7.6869489441785163E-2</v>
      </c>
      <c r="D19" s="346">
        <v>0.13722623925818267</v>
      </c>
      <c r="E19" s="347">
        <v>8.6426239258182672E-2</v>
      </c>
      <c r="F19" s="347">
        <v>0.18</v>
      </c>
      <c r="G19" s="344" t="s">
        <v>359</v>
      </c>
    </row>
    <row r="20" spans="1:7" ht="16">
      <c r="A20" s="344" t="s">
        <v>262</v>
      </c>
      <c r="B20" s="341" t="s">
        <v>703</v>
      </c>
      <c r="C20" s="345">
        <v>6.1976604002401993E-3</v>
      </c>
      <c r="D20" s="346">
        <v>5.7768180541875137E-2</v>
      </c>
      <c r="E20" s="347">
        <v>6.9681805418751368E-3</v>
      </c>
      <c r="F20" s="347">
        <v>0.33989999999999998</v>
      </c>
      <c r="G20" s="344" t="s">
        <v>358</v>
      </c>
    </row>
    <row r="21" spans="1:7" ht="16">
      <c r="A21" s="344" t="s">
        <v>366</v>
      </c>
      <c r="B21" s="341" t="s">
        <v>704</v>
      </c>
      <c r="C21" s="345">
        <v>6.6694226098107226E-2</v>
      </c>
      <c r="D21" s="346">
        <v>0.12578594284614886</v>
      </c>
      <c r="E21" s="347">
        <v>7.4985942846148873E-2</v>
      </c>
      <c r="F21" s="347">
        <v>0.28210000000000002</v>
      </c>
      <c r="G21" s="344" t="s">
        <v>361</v>
      </c>
    </row>
    <row r="22" spans="1:7" ht="16">
      <c r="A22" s="352" t="s">
        <v>705</v>
      </c>
      <c r="B22" s="353" t="s">
        <v>100</v>
      </c>
      <c r="C22" s="354">
        <v>4.8597450282648981E-2</v>
      </c>
      <c r="D22" s="354">
        <v>0.10472492804705089</v>
      </c>
      <c r="E22" s="354">
        <v>5.4639297021045995E-2</v>
      </c>
      <c r="F22" s="354">
        <v>0.27613666030121992</v>
      </c>
      <c r="G22" s="355" t="s">
        <v>360</v>
      </c>
    </row>
    <row r="23" spans="1:7" ht="16">
      <c r="A23" s="344" t="s">
        <v>263</v>
      </c>
      <c r="B23" s="341" t="s">
        <v>706</v>
      </c>
      <c r="C23" s="345">
        <v>8.6952250391429675E-3</v>
      </c>
      <c r="D23" s="346">
        <v>6.0576253297556164E-2</v>
      </c>
      <c r="E23" s="347">
        <v>9.7762532975561641E-3</v>
      </c>
      <c r="F23" s="347">
        <v>0</v>
      </c>
      <c r="G23" s="344" t="s">
        <v>364</v>
      </c>
    </row>
    <row r="24" spans="1:7" ht="16">
      <c r="A24" s="344" t="s">
        <v>264</v>
      </c>
      <c r="B24" s="341" t="s">
        <v>700</v>
      </c>
      <c r="C24" s="345">
        <v>3.6908455219340892E-2</v>
      </c>
      <c r="D24" s="346">
        <v>9.2297075167286274E-2</v>
      </c>
      <c r="E24" s="347">
        <v>4.1497075167286269E-2</v>
      </c>
      <c r="F24" s="347">
        <v>0.25</v>
      </c>
      <c r="G24" s="344" t="s">
        <v>361</v>
      </c>
    </row>
    <row r="25" spans="1:7" ht="16">
      <c r="A25" s="344" t="s">
        <v>265</v>
      </c>
      <c r="B25" s="341" t="s">
        <v>704</v>
      </c>
      <c r="C25" s="345">
        <v>6.6694226098107226E-2</v>
      </c>
      <c r="D25" s="346">
        <v>0.12578594284614886</v>
      </c>
      <c r="E25" s="347">
        <v>7.4985942846148873E-2</v>
      </c>
      <c r="F25" s="347">
        <v>0.1</v>
      </c>
      <c r="G25" s="344" t="s">
        <v>359</v>
      </c>
    </row>
    <row r="26" spans="1:7" ht="16">
      <c r="A26" s="344" t="s">
        <v>266</v>
      </c>
      <c r="B26" s="341" t="s">
        <v>706</v>
      </c>
      <c r="C26" s="345">
        <v>8.6952250391429675E-3</v>
      </c>
      <c r="D26" s="346">
        <v>6.0576253297556164E-2</v>
      </c>
      <c r="E26" s="347">
        <v>9.7762532975561641E-3</v>
      </c>
      <c r="F26" s="347">
        <v>0.22</v>
      </c>
      <c r="G26" s="344" t="s">
        <v>360</v>
      </c>
    </row>
    <row r="27" spans="1:7" ht="16">
      <c r="A27" s="344" t="s">
        <v>267</v>
      </c>
      <c r="B27" s="341" t="s">
        <v>698</v>
      </c>
      <c r="C27" s="345">
        <v>3.0803297213134125E-2</v>
      </c>
      <c r="D27" s="346">
        <v>8.5432897320065981E-2</v>
      </c>
      <c r="E27" s="347">
        <v>3.4632897320065976E-2</v>
      </c>
      <c r="F27" s="347">
        <v>0.34</v>
      </c>
      <c r="G27" s="344" t="s">
        <v>361</v>
      </c>
    </row>
    <row r="28" spans="1:7" ht="16">
      <c r="A28" s="357" t="s">
        <v>707</v>
      </c>
      <c r="B28" s="353" t="s">
        <v>100</v>
      </c>
      <c r="C28" s="354">
        <v>5.6099999999999997E-2</v>
      </c>
      <c r="D28" s="356">
        <v>0.1139</v>
      </c>
      <c r="E28" s="356">
        <v>6.3100000000000003E-2</v>
      </c>
      <c r="F28" s="356">
        <v>0.2402</v>
      </c>
      <c r="G28" s="355" t="s">
        <v>364</v>
      </c>
    </row>
    <row r="29" spans="1:7" ht="16">
      <c r="A29" s="344" t="s">
        <v>708</v>
      </c>
      <c r="B29" s="348" t="s">
        <v>100</v>
      </c>
      <c r="C29" s="345">
        <v>8.6999999999999994E-3</v>
      </c>
      <c r="D29" s="349">
        <v>6.0581621902349496E-2</v>
      </c>
      <c r="E29" s="347">
        <v>9.781621902349498E-3</v>
      </c>
      <c r="F29" s="358">
        <v>0.185</v>
      </c>
      <c r="G29" s="351" t="s">
        <v>365</v>
      </c>
    </row>
    <row r="30" spans="1:7" ht="16">
      <c r="A30" s="344" t="s">
        <v>268</v>
      </c>
      <c r="B30" s="341" t="s">
        <v>691</v>
      </c>
      <c r="C30" s="345">
        <v>1.9518005141054957E-2</v>
      </c>
      <c r="D30" s="346">
        <v>7.2744568572173943E-2</v>
      </c>
      <c r="E30" s="347">
        <v>2.1944568572173941E-2</v>
      </c>
      <c r="F30" s="347">
        <v>0.1</v>
      </c>
      <c r="G30" s="344" t="s">
        <v>359</v>
      </c>
    </row>
    <row r="31" spans="1:7" ht="16">
      <c r="A31" s="344" t="s">
        <v>488</v>
      </c>
      <c r="B31" s="341" t="s">
        <v>692</v>
      </c>
      <c r="C31" s="345">
        <v>5.6426460360395843E-2</v>
      </c>
      <c r="D31" s="346">
        <v>0.11424164373946019</v>
      </c>
      <c r="E31" s="347">
        <v>6.3441643739460193E-2</v>
      </c>
      <c r="F31" s="347">
        <v>0.27500000000000002</v>
      </c>
      <c r="G31" s="344" t="s">
        <v>360</v>
      </c>
    </row>
    <row r="32" spans="1:7" ht="16">
      <c r="A32" s="344" t="s">
        <v>269</v>
      </c>
      <c r="B32" s="341" t="s">
        <v>692</v>
      </c>
      <c r="C32" s="345">
        <v>5.6426460360395843E-2</v>
      </c>
      <c r="D32" s="346">
        <v>0.11424164373946019</v>
      </c>
      <c r="E32" s="347">
        <v>6.3441643739460193E-2</v>
      </c>
      <c r="F32" s="347">
        <v>0.2</v>
      </c>
      <c r="G32" s="344" t="s">
        <v>434</v>
      </c>
    </row>
    <row r="33" spans="1:7" ht="16">
      <c r="A33" s="344" t="s">
        <v>489</v>
      </c>
      <c r="B33" s="341" t="s">
        <v>692</v>
      </c>
      <c r="C33" s="345">
        <v>5.6426460360395843E-2</v>
      </c>
      <c r="D33" s="346">
        <v>0.11424164373946019</v>
      </c>
      <c r="E33" s="347">
        <v>6.3441643739460193E-2</v>
      </c>
      <c r="F33" s="347">
        <v>0.33</v>
      </c>
      <c r="G33" s="344" t="s">
        <v>360</v>
      </c>
    </row>
    <row r="34" spans="1:7" ht="16">
      <c r="A34" s="344" t="s">
        <v>270</v>
      </c>
      <c r="B34" s="341" t="s">
        <v>696</v>
      </c>
      <c r="C34" s="345">
        <v>0</v>
      </c>
      <c r="D34" s="346">
        <v>5.0799999999999998E-2</v>
      </c>
      <c r="E34" s="347">
        <v>0</v>
      </c>
      <c r="F34" s="347">
        <v>0.26500000000000001</v>
      </c>
      <c r="G34" s="344" t="s">
        <v>367</v>
      </c>
    </row>
    <row r="35" spans="1:7" ht="16">
      <c r="A35" s="344" t="s">
        <v>490</v>
      </c>
      <c r="B35" s="341" t="s">
        <v>692</v>
      </c>
      <c r="C35" s="345">
        <v>5.6426460360395843E-2</v>
      </c>
      <c r="D35" s="346">
        <v>0.11424164373946019</v>
      </c>
      <c r="E35" s="347">
        <v>6.3441643739460193E-2</v>
      </c>
      <c r="F35" s="347">
        <v>0.28210000000000002</v>
      </c>
      <c r="G35" s="344" t="s">
        <v>360</v>
      </c>
    </row>
    <row r="36" spans="1:7" ht="16">
      <c r="A36" s="344" t="s">
        <v>271</v>
      </c>
      <c r="B36" s="341" t="s">
        <v>703</v>
      </c>
      <c r="C36" s="345">
        <v>6.1976604002401993E-3</v>
      </c>
      <c r="D36" s="346">
        <v>5.7768180541875137E-2</v>
      </c>
      <c r="E36" s="347">
        <v>6.9681805418751368E-3</v>
      </c>
      <c r="F36" s="347">
        <v>0</v>
      </c>
      <c r="G36" s="344" t="s">
        <v>364</v>
      </c>
    </row>
    <row r="37" spans="1:7" ht="16">
      <c r="A37" s="352" t="s">
        <v>709</v>
      </c>
      <c r="B37" s="359" t="s">
        <v>100</v>
      </c>
      <c r="C37" s="360">
        <v>8.2343942576401426E-3</v>
      </c>
      <c r="D37" s="360">
        <v>6.0058130025645251E-2</v>
      </c>
      <c r="E37" s="360">
        <v>9.2581300256452583E-3</v>
      </c>
      <c r="F37" s="360">
        <v>0.25513332425871998</v>
      </c>
      <c r="G37" s="361" t="s">
        <v>358</v>
      </c>
    </row>
    <row r="38" spans="1:7" ht="16">
      <c r="A38" s="344" t="s">
        <v>272</v>
      </c>
      <c r="B38" s="341" t="s">
        <v>703</v>
      </c>
      <c r="C38" s="345">
        <v>6.1976604002401993E-3</v>
      </c>
      <c r="D38" s="346">
        <v>5.7768180541875137E-2</v>
      </c>
      <c r="E38" s="347">
        <v>6.9681805418751368E-3</v>
      </c>
      <c r="F38" s="347">
        <v>0.255</v>
      </c>
      <c r="G38" s="344" t="s">
        <v>361</v>
      </c>
    </row>
    <row r="39" spans="1:7" ht="16">
      <c r="A39" s="344" t="s">
        <v>273</v>
      </c>
      <c r="B39" s="341" t="s">
        <v>710</v>
      </c>
      <c r="C39" s="345">
        <v>7.2151867346079935E-3</v>
      </c>
      <c r="D39" s="346">
        <v>5.8912210183078517E-2</v>
      </c>
      <c r="E39" s="347">
        <v>8.1122101830785175E-3</v>
      </c>
      <c r="F39" s="347">
        <v>0.25</v>
      </c>
      <c r="G39" s="344" t="s">
        <v>434</v>
      </c>
    </row>
    <row r="40" spans="1:7" ht="16">
      <c r="A40" s="344" t="s">
        <v>274</v>
      </c>
      <c r="B40" s="341" t="s">
        <v>691</v>
      </c>
      <c r="C40" s="345">
        <v>1.9518005141054957E-2</v>
      </c>
      <c r="D40" s="346">
        <v>7.2744568572173943E-2</v>
      </c>
      <c r="E40" s="347">
        <v>2.1944568572173941E-2</v>
      </c>
      <c r="F40" s="347">
        <v>0.34</v>
      </c>
      <c r="G40" s="344" t="s">
        <v>361</v>
      </c>
    </row>
    <row r="41" spans="1:7" ht="16">
      <c r="A41" s="344" t="s">
        <v>507</v>
      </c>
      <c r="B41" s="341" t="s">
        <v>704</v>
      </c>
      <c r="C41" s="345">
        <v>6.6694226098107226E-2</v>
      </c>
      <c r="D41" s="346">
        <v>0.12578594284614886</v>
      </c>
      <c r="E41" s="347">
        <v>7.4985942846148873E-2</v>
      </c>
      <c r="F41" s="347">
        <v>0.35</v>
      </c>
      <c r="G41" s="344" t="s">
        <v>360</v>
      </c>
    </row>
    <row r="42" spans="1:7" ht="16">
      <c r="A42" s="344" t="s">
        <v>508</v>
      </c>
      <c r="B42" s="341" t="s">
        <v>711</v>
      </c>
      <c r="C42" s="345">
        <v>9.2317389245368947E-2</v>
      </c>
      <c r="D42" s="346">
        <v>0.15459468926554309</v>
      </c>
      <c r="E42" s="347">
        <v>0.1037946892655431</v>
      </c>
      <c r="F42" s="347">
        <v>0.28210000000000002</v>
      </c>
      <c r="G42" s="344" t="s">
        <v>360</v>
      </c>
    </row>
    <row r="43" spans="1:7" ht="16">
      <c r="A43" s="344" t="s">
        <v>491</v>
      </c>
      <c r="B43" s="341" t="s">
        <v>689</v>
      </c>
      <c r="C43" s="345">
        <v>4.6158694622684474E-2</v>
      </c>
      <c r="D43" s="346">
        <v>0.10269734463277155</v>
      </c>
      <c r="E43" s="347">
        <v>5.1897344632771548E-2</v>
      </c>
      <c r="F43" s="347">
        <v>0</v>
      </c>
      <c r="G43" s="344" t="s">
        <v>362</v>
      </c>
    </row>
    <row r="44" spans="1:7" ht="16">
      <c r="A44" s="344" t="s">
        <v>275</v>
      </c>
      <c r="B44" s="341" t="s">
        <v>698</v>
      </c>
      <c r="C44" s="345">
        <v>3.0803297213134125E-2</v>
      </c>
      <c r="D44" s="346">
        <v>8.5432897320065981E-2</v>
      </c>
      <c r="E44" s="347">
        <v>3.4632897320065976E-2</v>
      </c>
      <c r="F44" s="347">
        <v>0.3</v>
      </c>
      <c r="G44" s="344" t="s">
        <v>361</v>
      </c>
    </row>
    <row r="45" spans="1:7" ht="16">
      <c r="A45" s="362" t="s">
        <v>276</v>
      </c>
      <c r="B45" s="341" t="s">
        <v>698</v>
      </c>
      <c r="C45" s="345">
        <v>3.0803297213134125E-2</v>
      </c>
      <c r="D45" s="346">
        <v>8.5432897320065981E-2</v>
      </c>
      <c r="E45" s="347">
        <v>3.4632897320065976E-2</v>
      </c>
      <c r="F45" s="347">
        <v>0.2</v>
      </c>
      <c r="G45" s="344" t="s">
        <v>359</v>
      </c>
    </row>
    <row r="46" spans="1:7" ht="16">
      <c r="A46" s="344" t="s">
        <v>368</v>
      </c>
      <c r="B46" s="341" t="s">
        <v>711</v>
      </c>
      <c r="C46" s="345">
        <v>9.2317389245368947E-2</v>
      </c>
      <c r="D46" s="346">
        <v>0.15459468926554309</v>
      </c>
      <c r="E46" s="347">
        <v>0.1037946892655431</v>
      </c>
      <c r="F46" s="347">
        <v>0.27979999999999999</v>
      </c>
      <c r="G46" s="344" t="s">
        <v>364</v>
      </c>
    </row>
    <row r="47" spans="1:7" ht="16">
      <c r="A47" s="363" t="s">
        <v>713</v>
      </c>
      <c r="B47" s="341" t="s">
        <v>714</v>
      </c>
      <c r="C47" s="345">
        <v>1.2302818406446965E-2</v>
      </c>
      <c r="D47" s="346">
        <v>6.4632358389095423E-2</v>
      </c>
      <c r="E47" s="347">
        <v>1.3832358389095424E-2</v>
      </c>
      <c r="F47" s="347">
        <v>0.22</v>
      </c>
      <c r="G47" s="344" t="s">
        <v>364</v>
      </c>
    </row>
    <row r="48" spans="1:7" ht="16">
      <c r="A48" s="362" t="s">
        <v>277</v>
      </c>
      <c r="B48" s="341" t="s">
        <v>700</v>
      </c>
      <c r="C48" s="345">
        <v>3.6908455219340892E-2</v>
      </c>
      <c r="D48" s="346">
        <v>9.2297075167286274E-2</v>
      </c>
      <c r="E48" s="347">
        <v>4.1497075167286269E-2</v>
      </c>
      <c r="F48" s="347">
        <v>0.125</v>
      </c>
      <c r="G48" s="344" t="s">
        <v>358</v>
      </c>
    </row>
    <row r="49" spans="1:7" ht="16">
      <c r="A49" s="344" t="s">
        <v>278</v>
      </c>
      <c r="B49" s="341" t="s">
        <v>710</v>
      </c>
      <c r="C49" s="345">
        <v>7.2151867346079935E-3</v>
      </c>
      <c r="D49" s="346">
        <v>5.8912210183078517E-2</v>
      </c>
      <c r="E49" s="347">
        <v>8.1122101830785175E-3</v>
      </c>
      <c r="F49" s="347">
        <v>0.19</v>
      </c>
      <c r="G49" s="344" t="s">
        <v>359</v>
      </c>
    </row>
    <row r="50" spans="1:7" ht="16">
      <c r="A50" s="344" t="s">
        <v>279</v>
      </c>
      <c r="B50" s="341" t="s">
        <v>696</v>
      </c>
      <c r="C50" s="345">
        <v>0</v>
      </c>
      <c r="D50" s="346">
        <v>5.0799999999999998E-2</v>
      </c>
      <c r="E50" s="347">
        <v>0</v>
      </c>
      <c r="F50" s="347">
        <v>0.22</v>
      </c>
      <c r="G50" s="344" t="s">
        <v>358</v>
      </c>
    </row>
    <row r="51" spans="1:7" ht="16">
      <c r="A51" s="344" t="s">
        <v>280</v>
      </c>
      <c r="B51" s="341" t="s">
        <v>700</v>
      </c>
      <c r="C51" s="345">
        <v>3.6908455219340892E-2</v>
      </c>
      <c r="D51" s="346">
        <v>9.2297075167286274E-2</v>
      </c>
      <c r="E51" s="347">
        <v>4.1497075167286269E-2</v>
      </c>
      <c r="F51" s="347">
        <v>0.27</v>
      </c>
      <c r="G51" s="344" t="s">
        <v>364</v>
      </c>
    </row>
    <row r="52" spans="1:7" ht="16">
      <c r="A52" s="344" t="s">
        <v>281</v>
      </c>
      <c r="B52" s="341" t="s">
        <v>704</v>
      </c>
      <c r="C52" s="345">
        <v>6.6694226098107226E-2</v>
      </c>
      <c r="D52" s="346">
        <v>0.12578594284614886</v>
      </c>
      <c r="E52" s="347">
        <v>7.4985942846148873E-2</v>
      </c>
      <c r="F52" s="347">
        <v>0.22</v>
      </c>
      <c r="G52" s="344" t="s">
        <v>361</v>
      </c>
    </row>
    <row r="53" spans="1:7" ht="16">
      <c r="A53" s="344" t="s">
        <v>282</v>
      </c>
      <c r="B53" s="341" t="s">
        <v>704</v>
      </c>
      <c r="C53" s="345">
        <v>6.6694226098107226E-2</v>
      </c>
      <c r="D53" s="346">
        <v>0.12578594284614886</v>
      </c>
      <c r="E53" s="347">
        <v>7.4985942846148873E-2</v>
      </c>
      <c r="F53" s="347">
        <v>0.22500000000000001</v>
      </c>
      <c r="G53" s="344" t="s">
        <v>360</v>
      </c>
    </row>
    <row r="54" spans="1:7" ht="16">
      <c r="A54" s="344" t="s">
        <v>369</v>
      </c>
      <c r="B54" s="341" t="s">
        <v>702</v>
      </c>
      <c r="C54" s="345">
        <v>7.6869489441785163E-2</v>
      </c>
      <c r="D54" s="346">
        <v>0.13722623925818267</v>
      </c>
      <c r="E54" s="347">
        <v>8.6426239258182672E-2</v>
      </c>
      <c r="F54" s="347">
        <v>0.3</v>
      </c>
      <c r="G54" s="344" t="s">
        <v>361</v>
      </c>
    </row>
    <row r="55" spans="1:7" ht="16">
      <c r="A55" s="344" t="s">
        <v>283</v>
      </c>
      <c r="B55" s="341" t="s">
        <v>710</v>
      </c>
      <c r="C55" s="345">
        <v>7.2151867346079935E-3</v>
      </c>
      <c r="D55" s="346">
        <v>5.8912210183078517E-2</v>
      </c>
      <c r="E55" s="347">
        <v>8.1122101830785175E-3</v>
      </c>
      <c r="F55" s="347">
        <v>0.2</v>
      </c>
      <c r="G55" s="344" t="s">
        <v>359</v>
      </c>
    </row>
    <row r="56" spans="1:7" ht="16">
      <c r="A56" s="344" t="s">
        <v>509</v>
      </c>
      <c r="B56" s="341" t="s">
        <v>689</v>
      </c>
      <c r="C56" s="345">
        <v>4.6158694622684474E-2</v>
      </c>
      <c r="D56" s="346">
        <v>0.10269734463277155</v>
      </c>
      <c r="E56" s="347">
        <v>5.1897344632771548E-2</v>
      </c>
      <c r="F56" s="347">
        <v>0.3</v>
      </c>
      <c r="G56" s="344" t="s">
        <v>360</v>
      </c>
    </row>
    <row r="57" spans="1:7" ht="16">
      <c r="A57" s="364" t="s">
        <v>715</v>
      </c>
      <c r="B57" s="353" t="s">
        <v>100</v>
      </c>
      <c r="C57" s="354">
        <v>3.158300855086299E-2</v>
      </c>
      <c r="D57" s="354">
        <v>8.6309545768185392E-2</v>
      </c>
      <c r="E57" s="365">
        <v>3.5509545768185401E-2</v>
      </c>
      <c r="F57" s="365">
        <v>0.31733228517314555</v>
      </c>
      <c r="G57" s="355" t="s">
        <v>361</v>
      </c>
    </row>
    <row r="58" spans="1:7" ht="16">
      <c r="A58" s="362" t="s">
        <v>284</v>
      </c>
      <c r="B58" s="341" t="s">
        <v>700</v>
      </c>
      <c r="C58" s="345">
        <v>3.6908455219340892E-2</v>
      </c>
      <c r="D58" s="346">
        <v>9.2297075167286274E-2</v>
      </c>
      <c r="E58" s="360">
        <v>4.1497075167286269E-2</v>
      </c>
      <c r="F58" s="360">
        <v>0.2</v>
      </c>
      <c r="G58" s="344" t="s">
        <v>434</v>
      </c>
    </row>
    <row r="59" spans="1:7" ht="16">
      <c r="A59" s="344" t="s">
        <v>285</v>
      </c>
      <c r="B59" s="341" t="s">
        <v>697</v>
      </c>
      <c r="C59" s="345">
        <v>4.0701053374711752E-3</v>
      </c>
      <c r="D59" s="346">
        <v>5.5376118564813517E-2</v>
      </c>
      <c r="E59" s="347">
        <v>4.576118564813522E-3</v>
      </c>
      <c r="F59" s="347">
        <v>0.2</v>
      </c>
      <c r="G59" s="344" t="s">
        <v>358</v>
      </c>
    </row>
    <row r="60" spans="1:7" ht="16">
      <c r="A60" s="344" t="s">
        <v>286</v>
      </c>
      <c r="B60" s="341" t="s">
        <v>688</v>
      </c>
      <c r="C60" s="345">
        <v>5.0876316718389695E-3</v>
      </c>
      <c r="D60" s="346">
        <v>5.6520148206016904E-2</v>
      </c>
      <c r="E60" s="347">
        <v>5.7201482060169036E-3</v>
      </c>
      <c r="F60" s="347">
        <v>0.33329999999999999</v>
      </c>
      <c r="G60" s="344" t="s">
        <v>358</v>
      </c>
    </row>
    <row r="61" spans="1:7" ht="16">
      <c r="A61" s="344" t="s">
        <v>492</v>
      </c>
      <c r="B61" s="341" t="s">
        <v>704</v>
      </c>
      <c r="C61" s="345">
        <v>6.6694226098107226E-2</v>
      </c>
      <c r="D61" s="346">
        <v>0.12578594284614886</v>
      </c>
      <c r="E61" s="347">
        <v>7.4985942846148873E-2</v>
      </c>
      <c r="F61" s="347">
        <v>0.3</v>
      </c>
      <c r="G61" s="344" t="s">
        <v>360</v>
      </c>
    </row>
    <row r="62" spans="1:7" ht="16">
      <c r="A62" s="344" t="s">
        <v>716</v>
      </c>
      <c r="B62" s="348" t="s">
        <v>100</v>
      </c>
      <c r="C62" s="345">
        <v>9.2300000000000007E-2</v>
      </c>
      <c r="D62" s="349">
        <v>0.15457513811343204</v>
      </c>
      <c r="E62" s="347">
        <v>0.10377513811343204</v>
      </c>
      <c r="F62" s="358">
        <v>0.31</v>
      </c>
      <c r="G62" s="351" t="s">
        <v>360</v>
      </c>
    </row>
    <row r="63" spans="1:7" ht="16">
      <c r="A63" s="344" t="s">
        <v>370</v>
      </c>
      <c r="B63" s="341" t="s">
        <v>698</v>
      </c>
      <c r="C63" s="345">
        <v>3.0803297213134125E-2</v>
      </c>
      <c r="D63" s="346">
        <v>8.5432897320065981E-2</v>
      </c>
      <c r="E63" s="347">
        <v>3.4632897320065976E-2</v>
      </c>
      <c r="F63" s="347">
        <v>0.15</v>
      </c>
      <c r="G63" s="344" t="s">
        <v>359</v>
      </c>
    </row>
    <row r="64" spans="1:7" ht="16">
      <c r="A64" s="344" t="s">
        <v>287</v>
      </c>
      <c r="B64" s="341" t="s">
        <v>696</v>
      </c>
      <c r="C64" s="345">
        <v>0</v>
      </c>
      <c r="D64" s="346">
        <v>5.0799999999999998E-2</v>
      </c>
      <c r="E64" s="347">
        <v>0</v>
      </c>
      <c r="F64" s="347">
        <v>0.2979</v>
      </c>
      <c r="G64" s="344" t="s">
        <v>358</v>
      </c>
    </row>
    <row r="65" spans="1:7" ht="16">
      <c r="A65" s="344" t="s">
        <v>493</v>
      </c>
      <c r="B65" s="341" t="s">
        <v>704</v>
      </c>
      <c r="C65" s="345">
        <v>6.6694226098107226E-2</v>
      </c>
      <c r="D65" s="346">
        <v>0.12578594284614886</v>
      </c>
      <c r="E65" s="347">
        <v>7.4985942846148873E-2</v>
      </c>
      <c r="F65" s="347">
        <v>0.25</v>
      </c>
      <c r="G65" s="344" t="s">
        <v>360</v>
      </c>
    </row>
    <row r="66" spans="1:7" ht="16">
      <c r="A66" s="364" t="s">
        <v>717</v>
      </c>
      <c r="B66" s="353" t="s">
        <v>100</v>
      </c>
      <c r="C66" s="354">
        <v>8.2000000000000007E-3</v>
      </c>
      <c r="D66" s="354">
        <v>6.0100000000000001E-2</v>
      </c>
      <c r="E66" s="365">
        <v>9.2999999999999992E-3</v>
      </c>
      <c r="F66" s="365">
        <v>0.25509999999999999</v>
      </c>
      <c r="G66" s="355" t="s">
        <v>358</v>
      </c>
    </row>
    <row r="67" spans="1:7" ht="16">
      <c r="A67" s="362" t="s">
        <v>288</v>
      </c>
      <c r="B67" s="341" t="s">
        <v>711</v>
      </c>
      <c r="C67" s="345">
        <v>9.2317389245368947E-2</v>
      </c>
      <c r="D67" s="366">
        <v>0.15459468926554309</v>
      </c>
      <c r="E67" s="367">
        <v>0.1037946892655431</v>
      </c>
      <c r="F67" s="367">
        <v>0.28999999999999998</v>
      </c>
      <c r="G67" s="344" t="s">
        <v>358</v>
      </c>
    </row>
    <row r="68" spans="1:7" ht="16">
      <c r="A68" s="355" t="s">
        <v>718</v>
      </c>
      <c r="B68" s="353" t="s">
        <v>100</v>
      </c>
      <c r="C68" s="354">
        <v>8.2000000000000007E-3</v>
      </c>
      <c r="D68" s="354">
        <v>6.0100000000000001E-2</v>
      </c>
      <c r="E68" s="365">
        <v>9.2999999999999992E-3</v>
      </c>
      <c r="F68" s="365">
        <v>0.25509999999999999</v>
      </c>
      <c r="G68" s="355" t="s">
        <v>358</v>
      </c>
    </row>
    <row r="69" spans="1:7" ht="16">
      <c r="A69" s="344" t="s">
        <v>289</v>
      </c>
      <c r="B69" s="341" t="s">
        <v>719</v>
      </c>
      <c r="C69" s="345">
        <v>2.5623163147261721E-2</v>
      </c>
      <c r="D69" s="366">
        <v>7.9608746419394222E-2</v>
      </c>
      <c r="E69" s="367">
        <v>2.8808746419394224E-2</v>
      </c>
      <c r="F69" s="367">
        <v>0.25</v>
      </c>
      <c r="G69" s="344" t="s">
        <v>361</v>
      </c>
    </row>
    <row r="70" spans="1:7" ht="16">
      <c r="A70" s="344" t="s">
        <v>510</v>
      </c>
      <c r="B70" s="341" t="s">
        <v>703</v>
      </c>
      <c r="C70" s="345">
        <v>6.1976604002401993E-3</v>
      </c>
      <c r="D70" s="346">
        <v>5.7768180541875137E-2</v>
      </c>
      <c r="E70" s="347">
        <v>6.9681805418751368E-3</v>
      </c>
      <c r="F70" s="347">
        <v>0</v>
      </c>
      <c r="G70" s="344" t="s">
        <v>358</v>
      </c>
    </row>
    <row r="71" spans="1:7" ht="16">
      <c r="A71" s="344" t="s">
        <v>720</v>
      </c>
      <c r="B71" s="348" t="s">
        <v>100</v>
      </c>
      <c r="C71" s="345">
        <v>9.2300000000000007E-2</v>
      </c>
      <c r="D71" s="349">
        <v>0.15457513811343204</v>
      </c>
      <c r="E71" s="347">
        <v>0.10377513811343204</v>
      </c>
      <c r="F71" s="358">
        <v>0.28210000000000002</v>
      </c>
      <c r="G71" s="351" t="s">
        <v>360</v>
      </c>
    </row>
    <row r="72" spans="1:7" ht="16">
      <c r="A72" s="344" t="s">
        <v>721</v>
      </c>
      <c r="B72" s="348" t="s">
        <v>100</v>
      </c>
      <c r="C72" s="345">
        <v>6.6699999999999995E-2</v>
      </c>
      <c r="D72" s="349">
        <v>0.12579243458467948</v>
      </c>
      <c r="E72" s="347">
        <v>7.4992434584679482E-2</v>
      </c>
      <c r="F72" s="358">
        <v>0.28210000000000002</v>
      </c>
      <c r="G72" s="351" t="s">
        <v>360</v>
      </c>
    </row>
    <row r="73" spans="1:7" ht="16">
      <c r="A73" s="344" t="s">
        <v>722</v>
      </c>
      <c r="B73" s="348" t="s">
        <v>100</v>
      </c>
      <c r="C73" s="345">
        <v>3.6900000000000009E-2</v>
      </c>
      <c r="D73" s="349">
        <v>9.2287568758240984E-2</v>
      </c>
      <c r="E73" s="347">
        <v>4.1487568758240986E-2</v>
      </c>
      <c r="F73" s="358">
        <v>0.27979999999999999</v>
      </c>
      <c r="G73" s="344" t="s">
        <v>361</v>
      </c>
    </row>
    <row r="74" spans="1:7" ht="16">
      <c r="A74" s="344" t="s">
        <v>723</v>
      </c>
      <c r="B74" s="348" t="s">
        <v>100</v>
      </c>
      <c r="C74" s="345">
        <v>7.6899999999999996E-2</v>
      </c>
      <c r="D74" s="349">
        <v>0.13726054302191681</v>
      </c>
      <c r="E74" s="347">
        <v>8.6460543021916816E-2</v>
      </c>
      <c r="F74" s="358">
        <v>0.27979999999999999</v>
      </c>
      <c r="G74" s="344" t="s">
        <v>364</v>
      </c>
    </row>
    <row r="75" spans="1:7" ht="16">
      <c r="A75" s="344" t="s">
        <v>290</v>
      </c>
      <c r="B75" s="341" t="s">
        <v>689</v>
      </c>
      <c r="C75" s="345">
        <v>4.6158694622684474E-2</v>
      </c>
      <c r="D75" s="346">
        <v>0.10269734463277155</v>
      </c>
      <c r="E75" s="347">
        <v>5.1897344632771548E-2</v>
      </c>
      <c r="F75" s="347">
        <v>0.25</v>
      </c>
      <c r="G75" s="344" t="s">
        <v>361</v>
      </c>
    </row>
    <row r="76" spans="1:7" ht="16">
      <c r="A76" s="344" t="s">
        <v>291</v>
      </c>
      <c r="B76" s="341" t="s">
        <v>688</v>
      </c>
      <c r="C76" s="345">
        <v>5.0876316718389695E-3</v>
      </c>
      <c r="D76" s="346">
        <v>5.6520148206016904E-2</v>
      </c>
      <c r="E76" s="347">
        <v>5.7201482060169036E-3</v>
      </c>
      <c r="F76" s="347">
        <v>0.16500000000000001</v>
      </c>
      <c r="G76" s="344" t="s">
        <v>434</v>
      </c>
    </row>
    <row r="77" spans="1:7" ht="16">
      <c r="A77" s="344" t="s">
        <v>292</v>
      </c>
      <c r="B77" s="341" t="s">
        <v>699</v>
      </c>
      <c r="C77" s="345">
        <v>2.2570584144158336E-2</v>
      </c>
      <c r="D77" s="346">
        <v>7.6176657495784075E-2</v>
      </c>
      <c r="E77" s="347">
        <v>2.5376657495784077E-2</v>
      </c>
      <c r="F77" s="347">
        <v>0.09</v>
      </c>
      <c r="G77" s="344" t="s">
        <v>359</v>
      </c>
    </row>
    <row r="78" spans="1:7" ht="16">
      <c r="A78" s="344" t="s">
        <v>293</v>
      </c>
      <c r="B78" s="341" t="s">
        <v>714</v>
      </c>
      <c r="C78" s="345">
        <v>1.2302818406446965E-2</v>
      </c>
      <c r="D78" s="346">
        <v>6.4632358389095423E-2</v>
      </c>
      <c r="E78" s="347">
        <v>1.3832358389095424E-2</v>
      </c>
      <c r="F78" s="347">
        <v>0.2</v>
      </c>
      <c r="G78" s="344" t="s">
        <v>358</v>
      </c>
    </row>
    <row r="79" spans="1:7" ht="16">
      <c r="A79" s="344" t="s">
        <v>294</v>
      </c>
      <c r="B79" s="341" t="s">
        <v>691</v>
      </c>
      <c r="C79" s="345">
        <v>1.9518005141054957E-2</v>
      </c>
      <c r="D79" s="346">
        <v>7.2744568572173943E-2</v>
      </c>
      <c r="E79" s="347">
        <v>2.1944568572173941E-2</v>
      </c>
      <c r="F79" s="347">
        <v>0.3</v>
      </c>
      <c r="G79" s="344" t="s">
        <v>434</v>
      </c>
    </row>
    <row r="80" spans="1:7" ht="16">
      <c r="A80" s="344" t="s">
        <v>295</v>
      </c>
      <c r="B80" s="341" t="s">
        <v>699</v>
      </c>
      <c r="C80" s="345">
        <v>2.2570584144158336E-2</v>
      </c>
      <c r="D80" s="346">
        <v>7.6176657495784075E-2</v>
      </c>
      <c r="E80" s="347">
        <v>2.5376657495784077E-2</v>
      </c>
      <c r="F80" s="347">
        <v>0.25</v>
      </c>
      <c r="G80" s="344" t="s">
        <v>434</v>
      </c>
    </row>
    <row r="81" spans="1:7" ht="16">
      <c r="A81" s="344" t="s">
        <v>724</v>
      </c>
      <c r="B81" s="348" t="s">
        <v>100</v>
      </c>
      <c r="C81" s="345">
        <v>1.9499999999999997E-2</v>
      </c>
      <c r="D81" s="349">
        <v>7.2724324953541974E-2</v>
      </c>
      <c r="E81" s="347">
        <v>2.1924324953541977E-2</v>
      </c>
      <c r="F81" s="358">
        <v>0.21279999999999999</v>
      </c>
      <c r="G81" s="344" t="s">
        <v>434</v>
      </c>
    </row>
    <row r="82" spans="1:7" ht="16">
      <c r="A82" s="344" t="s">
        <v>661</v>
      </c>
      <c r="B82" s="341" t="s">
        <v>702</v>
      </c>
      <c r="C82" s="345">
        <v>7.6869489441785163E-2</v>
      </c>
      <c r="D82" s="346">
        <v>0.13722623925818267</v>
      </c>
      <c r="E82" s="347">
        <v>8.6426239258182672E-2</v>
      </c>
      <c r="F82" s="347">
        <v>0.15</v>
      </c>
      <c r="G82" s="344" t="s">
        <v>365</v>
      </c>
    </row>
    <row r="83" spans="1:7" ht="16">
      <c r="A83" s="344" t="s">
        <v>296</v>
      </c>
      <c r="B83" s="341" t="s">
        <v>706</v>
      </c>
      <c r="C83" s="345">
        <v>8.6952250391429675E-3</v>
      </c>
      <c r="D83" s="346">
        <v>6.0576253297556164E-2</v>
      </c>
      <c r="E83" s="347">
        <v>9.7762532975561641E-3</v>
      </c>
      <c r="F83" s="347">
        <v>0.125</v>
      </c>
      <c r="G83" s="344" t="s">
        <v>358</v>
      </c>
    </row>
    <row r="84" spans="1:7" ht="16">
      <c r="A84" s="344" t="s">
        <v>297</v>
      </c>
      <c r="B84" s="341" t="s">
        <v>688</v>
      </c>
      <c r="C84" s="345">
        <v>5.0876316718389695E-3</v>
      </c>
      <c r="D84" s="346">
        <v>5.6520148206016904E-2</v>
      </c>
      <c r="E84" s="347">
        <v>5.7201482060169036E-3</v>
      </c>
      <c r="F84" s="347">
        <v>0</v>
      </c>
      <c r="G84" s="344" t="s">
        <v>358</v>
      </c>
    </row>
    <row r="85" spans="1:7" ht="16">
      <c r="A85" s="344" t="s">
        <v>298</v>
      </c>
      <c r="B85" s="341" t="s">
        <v>710</v>
      </c>
      <c r="C85" s="345">
        <v>7.2151867346079935E-3</v>
      </c>
      <c r="D85" s="346">
        <v>5.8912210183078517E-2</v>
      </c>
      <c r="E85" s="347">
        <v>8.1122101830785175E-3</v>
      </c>
      <c r="F85" s="347">
        <v>0.24</v>
      </c>
      <c r="G85" s="344" t="s">
        <v>365</v>
      </c>
    </row>
    <row r="86" spans="1:7" ht="16">
      <c r="A86" s="344" t="s">
        <v>299</v>
      </c>
      <c r="B86" s="341" t="s">
        <v>691</v>
      </c>
      <c r="C86" s="345">
        <v>1.9518005141054957E-2</v>
      </c>
      <c r="D86" s="346">
        <v>7.2744568572173943E-2</v>
      </c>
      <c r="E86" s="347">
        <v>2.1944568572173941E-2</v>
      </c>
      <c r="F86" s="347">
        <v>0.24</v>
      </c>
      <c r="G86" s="344" t="s">
        <v>358</v>
      </c>
    </row>
    <row r="87" spans="1:7" ht="16">
      <c r="A87" s="363" t="s">
        <v>712</v>
      </c>
      <c r="B87" s="341" t="s">
        <v>700</v>
      </c>
      <c r="C87" s="345">
        <v>3.6908455219340892E-2</v>
      </c>
      <c r="D87" s="346">
        <v>9.2297075167286274E-2</v>
      </c>
      <c r="E87" s="347">
        <v>4.1497075167286269E-2</v>
      </c>
      <c r="F87" s="347">
        <v>0.25</v>
      </c>
      <c r="G87" s="344" t="s">
        <v>360</v>
      </c>
    </row>
    <row r="88" spans="1:7" ht="16">
      <c r="A88" s="344" t="s">
        <v>300</v>
      </c>
      <c r="B88" s="341" t="s">
        <v>704</v>
      </c>
      <c r="C88" s="345">
        <v>6.6694226098107226E-2</v>
      </c>
      <c r="D88" s="346">
        <v>0.12578594284614886</v>
      </c>
      <c r="E88" s="347">
        <v>7.4985942846148873E-2</v>
      </c>
      <c r="F88" s="347">
        <v>0.25</v>
      </c>
      <c r="G88" s="344" t="s">
        <v>364</v>
      </c>
    </row>
    <row r="89" spans="1:7" ht="16">
      <c r="A89" s="344" t="s">
        <v>301</v>
      </c>
      <c r="B89" s="341" t="s">
        <v>710</v>
      </c>
      <c r="C89" s="345">
        <v>7.2151867346079935E-3</v>
      </c>
      <c r="D89" s="346">
        <v>5.8912210183078517E-2</v>
      </c>
      <c r="E89" s="347">
        <v>8.1122101830785175E-3</v>
      </c>
      <c r="F89" s="347">
        <v>0.30859999999999999</v>
      </c>
      <c r="G89" s="344" t="s">
        <v>434</v>
      </c>
    </row>
    <row r="90" spans="1:7" ht="16">
      <c r="A90" s="344" t="s">
        <v>511</v>
      </c>
      <c r="B90" s="341" t="s">
        <v>703</v>
      </c>
      <c r="C90" s="345">
        <v>6.1976604002401993E-3</v>
      </c>
      <c r="D90" s="346">
        <v>5.7768180541875137E-2</v>
      </c>
      <c r="E90" s="347">
        <v>6.9681805418751368E-3</v>
      </c>
      <c r="F90" s="347">
        <v>0.2</v>
      </c>
      <c r="G90" s="344" t="s">
        <v>358</v>
      </c>
    </row>
    <row r="91" spans="1:7" ht="16">
      <c r="A91" s="344" t="s">
        <v>302</v>
      </c>
      <c r="B91" s="341" t="s">
        <v>689</v>
      </c>
      <c r="C91" s="345">
        <v>4.6158694622684474E-2</v>
      </c>
      <c r="D91" s="346">
        <v>0.10269734463277155</v>
      </c>
      <c r="E91" s="347">
        <v>5.1897344632771548E-2</v>
      </c>
      <c r="F91" s="347">
        <v>0.2</v>
      </c>
      <c r="G91" s="344" t="s">
        <v>365</v>
      </c>
    </row>
    <row r="92" spans="1:7" ht="16">
      <c r="A92" s="357" t="s">
        <v>303</v>
      </c>
      <c r="B92" s="341" t="s">
        <v>699</v>
      </c>
      <c r="C92" s="345">
        <v>2.2570584144158336E-2</v>
      </c>
      <c r="D92" s="346">
        <v>7.6176657495784075E-2</v>
      </c>
      <c r="E92" s="347">
        <v>2.5376657495784077E-2</v>
      </c>
      <c r="F92" s="347">
        <v>0.2</v>
      </c>
      <c r="G92" s="344" t="s">
        <v>359</v>
      </c>
    </row>
    <row r="93" spans="1:7" ht="16">
      <c r="A93" s="344" t="s">
        <v>435</v>
      </c>
      <c r="B93" s="341" t="s">
        <v>689</v>
      </c>
      <c r="C93" s="345">
        <v>4.6158694622684474E-2</v>
      </c>
      <c r="D93" s="346">
        <v>0.10269734463277155</v>
      </c>
      <c r="E93" s="347">
        <v>5.1897344632771548E-2</v>
      </c>
      <c r="F93" s="347">
        <v>0.3</v>
      </c>
      <c r="G93" s="344" t="s">
        <v>360</v>
      </c>
    </row>
    <row r="94" spans="1:7" ht="16">
      <c r="A94" s="344" t="s">
        <v>499</v>
      </c>
      <c r="B94" s="341" t="s">
        <v>688</v>
      </c>
      <c r="C94" s="345">
        <v>5.0876316718389695E-3</v>
      </c>
      <c r="D94" s="346">
        <v>5.6520148206016904E-2</v>
      </c>
      <c r="E94" s="347">
        <v>5.7201482060169036E-3</v>
      </c>
      <c r="F94" s="347">
        <v>0.22</v>
      </c>
      <c r="G94" s="344" t="s">
        <v>434</v>
      </c>
    </row>
    <row r="95" spans="1:7" ht="16">
      <c r="A95" s="344" t="s">
        <v>725</v>
      </c>
      <c r="B95" s="348" t="s">
        <v>100</v>
      </c>
      <c r="C95" s="345">
        <v>0.10250000000000001</v>
      </c>
      <c r="D95" s="349">
        <v>0.16604324655066938</v>
      </c>
      <c r="E95" s="347">
        <v>0.11524324655066938</v>
      </c>
      <c r="F95" s="358">
        <v>0.21279999999999999</v>
      </c>
      <c r="G95" s="344" t="s">
        <v>434</v>
      </c>
    </row>
    <row r="96" spans="1:7" ht="16">
      <c r="A96" s="344" t="s">
        <v>304</v>
      </c>
      <c r="B96" s="341" t="s">
        <v>688</v>
      </c>
      <c r="C96" s="345">
        <v>5.0876316718389695E-3</v>
      </c>
      <c r="D96" s="346">
        <v>5.6520148206016904E-2</v>
      </c>
      <c r="E96" s="347">
        <v>5.7201482060169036E-3</v>
      </c>
      <c r="F96" s="347">
        <v>0.15</v>
      </c>
      <c r="G96" s="344" t="s">
        <v>365</v>
      </c>
    </row>
    <row r="97" spans="1:7" ht="16">
      <c r="A97" s="357" t="s">
        <v>494</v>
      </c>
      <c r="B97" s="341" t="s">
        <v>692</v>
      </c>
      <c r="C97" s="345">
        <v>5.6426460360395843E-2</v>
      </c>
      <c r="D97" s="346">
        <v>0.11424164373946019</v>
      </c>
      <c r="E97" s="347">
        <v>6.3441643739460193E-2</v>
      </c>
      <c r="F97" s="347">
        <v>0.15</v>
      </c>
      <c r="G97" s="344" t="s">
        <v>359</v>
      </c>
    </row>
    <row r="98" spans="1:7" ht="16">
      <c r="A98" s="368" t="s">
        <v>726</v>
      </c>
      <c r="B98" s="341" t="s">
        <v>100</v>
      </c>
      <c r="C98" s="360">
        <v>1.0582088803118707E-2</v>
      </c>
      <c r="D98" s="360">
        <v>6.2697700184964747E-2</v>
      </c>
      <c r="E98" s="360">
        <v>1.1897700184964751E-2</v>
      </c>
      <c r="F98" s="360">
        <v>0.25928934779030921</v>
      </c>
      <c r="G98" s="344" t="s">
        <v>434</v>
      </c>
    </row>
    <row r="99" spans="1:7" ht="16">
      <c r="A99" s="344" t="s">
        <v>305</v>
      </c>
      <c r="B99" s="341" t="s">
        <v>714</v>
      </c>
      <c r="C99" s="345">
        <v>1.2302818406446965E-2</v>
      </c>
      <c r="D99" s="346">
        <v>6.4632358389095423E-2</v>
      </c>
      <c r="E99" s="347">
        <v>1.3832358389095424E-2</v>
      </c>
      <c r="F99" s="347">
        <v>0.15</v>
      </c>
      <c r="G99" s="344" t="s">
        <v>359</v>
      </c>
    </row>
    <row r="100" spans="1:7" ht="16">
      <c r="A100" s="344" t="s">
        <v>371</v>
      </c>
      <c r="B100" s="341" t="s">
        <v>704</v>
      </c>
      <c r="C100" s="345">
        <v>6.6694226098107226E-2</v>
      </c>
      <c r="D100" s="346">
        <v>0.12578594284614886</v>
      </c>
      <c r="E100" s="347">
        <v>7.4985942846148873E-2</v>
      </c>
      <c r="F100" s="347">
        <v>0.15</v>
      </c>
      <c r="G100" s="344" t="s">
        <v>365</v>
      </c>
    </row>
    <row r="101" spans="1:7" ht="16">
      <c r="A101" s="344" t="s">
        <v>727</v>
      </c>
      <c r="B101" s="348" t="s">
        <v>100</v>
      </c>
      <c r="C101" s="345">
        <v>0.12300000000000001</v>
      </c>
      <c r="D101" s="349">
        <v>0.18909189586080327</v>
      </c>
      <c r="E101" s="347">
        <v>0.13829189586080326</v>
      </c>
      <c r="F101" s="358">
        <v>0.28210000000000002</v>
      </c>
      <c r="G101" s="344" t="s">
        <v>360</v>
      </c>
    </row>
    <row r="102" spans="1:7" ht="16">
      <c r="A102" s="344" t="s">
        <v>728</v>
      </c>
      <c r="B102" s="348" t="s">
        <v>100</v>
      </c>
      <c r="C102" s="345">
        <v>7.6899999999999996E-2</v>
      </c>
      <c r="D102" s="349">
        <v>0.13726054302191681</v>
      </c>
      <c r="E102" s="347">
        <v>8.6460543021916816E-2</v>
      </c>
      <c r="F102" s="350">
        <v>0.2</v>
      </c>
      <c r="G102" s="344" t="s">
        <v>360</v>
      </c>
    </row>
    <row r="103" spans="1:7" ht="16">
      <c r="A103" s="344" t="s">
        <v>306</v>
      </c>
      <c r="B103" s="341" t="s">
        <v>696</v>
      </c>
      <c r="C103" s="345">
        <v>0</v>
      </c>
      <c r="D103" s="346">
        <v>5.0799999999999998E-2</v>
      </c>
      <c r="E103" s="347">
        <v>0</v>
      </c>
      <c r="F103" s="347">
        <v>0.125</v>
      </c>
      <c r="G103" s="344" t="s">
        <v>358</v>
      </c>
    </row>
    <row r="104" spans="1:7" ht="16">
      <c r="A104" s="344" t="s">
        <v>307</v>
      </c>
      <c r="B104" s="341" t="s">
        <v>714</v>
      </c>
      <c r="C104" s="345">
        <v>1.2302818406446965E-2</v>
      </c>
      <c r="D104" s="346">
        <v>6.4632358389095423E-2</v>
      </c>
      <c r="E104" s="347">
        <v>1.3832358389095424E-2</v>
      </c>
      <c r="F104" s="347">
        <v>0.15</v>
      </c>
      <c r="G104" s="344" t="s">
        <v>359</v>
      </c>
    </row>
    <row r="105" spans="1:7" ht="16">
      <c r="A105" s="344" t="s">
        <v>308</v>
      </c>
      <c r="B105" s="341" t="s">
        <v>696</v>
      </c>
      <c r="C105" s="345">
        <v>0</v>
      </c>
      <c r="D105" s="346">
        <v>5.0799999999999998E-2</v>
      </c>
      <c r="E105" s="347">
        <v>0</v>
      </c>
      <c r="F105" s="347">
        <v>0.27079999999999999</v>
      </c>
      <c r="G105" s="344" t="s">
        <v>358</v>
      </c>
    </row>
    <row r="106" spans="1:7" ht="16">
      <c r="A106" s="344" t="s">
        <v>729</v>
      </c>
      <c r="B106" s="341" t="s">
        <v>703</v>
      </c>
      <c r="C106" s="345">
        <v>6.1976604002401993E-3</v>
      </c>
      <c r="D106" s="346">
        <v>5.7768180541875137E-2</v>
      </c>
      <c r="E106" s="347">
        <v>6.9681805418751368E-3</v>
      </c>
      <c r="F106" s="347">
        <v>0.12</v>
      </c>
      <c r="G106" s="344" t="s">
        <v>434</v>
      </c>
    </row>
    <row r="107" spans="1:7" ht="16">
      <c r="A107" s="344" t="s">
        <v>309</v>
      </c>
      <c r="B107" s="341" t="s">
        <v>700</v>
      </c>
      <c r="C107" s="345">
        <v>3.6908455219340892E-2</v>
      </c>
      <c r="D107" s="346">
        <v>9.2297075167286274E-2</v>
      </c>
      <c r="E107" s="347">
        <v>4.1497075167286269E-2</v>
      </c>
      <c r="F107" s="347">
        <v>0.1</v>
      </c>
      <c r="G107" s="344" t="s">
        <v>359</v>
      </c>
    </row>
    <row r="108" spans="1:7" ht="16">
      <c r="A108" s="344" t="s">
        <v>730</v>
      </c>
      <c r="B108" s="348" t="s">
        <v>100</v>
      </c>
      <c r="C108" s="345">
        <v>5.6399999999999999E-2</v>
      </c>
      <c r="D108" s="349">
        <v>0.11421189371178295</v>
      </c>
      <c r="E108" s="347">
        <v>6.3411893711782949E-2</v>
      </c>
      <c r="F108" s="358">
        <v>0.2</v>
      </c>
      <c r="G108" s="344" t="s">
        <v>360</v>
      </c>
    </row>
    <row r="109" spans="1:7" ht="16">
      <c r="A109" s="344" t="s">
        <v>731</v>
      </c>
      <c r="B109" s="348" t="s">
        <v>100</v>
      </c>
      <c r="C109" s="345">
        <v>7.6899999999999996E-2</v>
      </c>
      <c r="D109" s="349">
        <v>0.13726054302191681</v>
      </c>
      <c r="E109" s="347">
        <v>8.6460543021916816E-2</v>
      </c>
      <c r="F109" s="358">
        <v>0.3</v>
      </c>
      <c r="G109" s="344" t="s">
        <v>360</v>
      </c>
    </row>
    <row r="110" spans="1:7" ht="16">
      <c r="A110" s="344" t="s">
        <v>310</v>
      </c>
      <c r="B110" s="341" t="s">
        <v>714</v>
      </c>
      <c r="C110" s="345">
        <v>1.2302818406446965E-2</v>
      </c>
      <c r="D110" s="346">
        <v>6.4632358389095423E-2</v>
      </c>
      <c r="E110" s="347">
        <v>1.3832358389095424E-2</v>
      </c>
      <c r="F110" s="347">
        <v>0.24</v>
      </c>
      <c r="G110" s="344" t="s">
        <v>434</v>
      </c>
    </row>
    <row r="111" spans="1:7" ht="16">
      <c r="A111" s="344" t="s">
        <v>732</v>
      </c>
      <c r="B111" s="348" t="s">
        <v>100</v>
      </c>
      <c r="C111" s="345">
        <v>7.6899999999999996E-2</v>
      </c>
      <c r="D111" s="349">
        <v>0.13726054302191681</v>
      </c>
      <c r="E111" s="347">
        <v>8.6460543021916816E-2</v>
      </c>
      <c r="F111" s="358">
        <v>0.28210000000000002</v>
      </c>
      <c r="G111" s="344" t="s">
        <v>360</v>
      </c>
    </row>
    <row r="112" spans="1:7" ht="16">
      <c r="A112" s="344" t="s">
        <v>311</v>
      </c>
      <c r="B112" s="341" t="s">
        <v>714</v>
      </c>
      <c r="C112" s="345">
        <v>1.2302818406446965E-2</v>
      </c>
      <c r="D112" s="346">
        <v>6.4632358389095423E-2</v>
      </c>
      <c r="E112" s="347">
        <v>1.3832358389095424E-2</v>
      </c>
      <c r="F112" s="347">
        <v>0.35</v>
      </c>
      <c r="G112" s="344" t="s">
        <v>358</v>
      </c>
    </row>
    <row r="113" spans="1:7" ht="16">
      <c r="A113" s="344" t="s">
        <v>312</v>
      </c>
      <c r="B113" s="341" t="s">
        <v>695</v>
      </c>
      <c r="C113" s="345">
        <v>1.637292374391814E-2</v>
      </c>
      <c r="D113" s="346">
        <v>6.9208476953908943E-2</v>
      </c>
      <c r="E113" s="347">
        <v>1.8408476953908945E-2</v>
      </c>
      <c r="F113" s="347">
        <v>0.15</v>
      </c>
      <c r="G113" s="344" t="s">
        <v>434</v>
      </c>
    </row>
    <row r="114" spans="1:7" ht="16">
      <c r="A114" s="344" t="s">
        <v>313</v>
      </c>
      <c r="B114" s="341" t="s">
        <v>714</v>
      </c>
      <c r="C114" s="345">
        <v>1.2302818406446965E-2</v>
      </c>
      <c r="D114" s="346">
        <v>6.4632358389095423E-2</v>
      </c>
      <c r="E114" s="347">
        <v>1.3832358389095424E-2</v>
      </c>
      <c r="F114" s="347">
        <v>0.3</v>
      </c>
      <c r="G114" s="344" t="s">
        <v>361</v>
      </c>
    </row>
    <row r="115" spans="1:7" ht="16">
      <c r="A115" s="344" t="s">
        <v>372</v>
      </c>
      <c r="B115" s="341" t="s">
        <v>704</v>
      </c>
      <c r="C115" s="345">
        <v>6.6694226098107226E-2</v>
      </c>
      <c r="D115" s="346">
        <v>0.12578594284614886</v>
      </c>
      <c r="E115" s="347">
        <v>7.4985942846148873E-2</v>
      </c>
      <c r="F115" s="347">
        <v>0.12</v>
      </c>
      <c r="G115" s="344" t="s">
        <v>359</v>
      </c>
    </row>
    <row r="116" spans="1:7" ht="16">
      <c r="A116" s="344" t="s">
        <v>373</v>
      </c>
      <c r="B116" s="341" t="s">
        <v>702</v>
      </c>
      <c r="C116" s="345">
        <v>7.6869489441785163E-2</v>
      </c>
      <c r="D116" s="346">
        <v>0.13722623925818267</v>
      </c>
      <c r="E116" s="347">
        <v>8.6426239258182672E-2</v>
      </c>
      <c r="F116" s="347">
        <v>0.25</v>
      </c>
      <c r="G116" s="344" t="s">
        <v>434</v>
      </c>
    </row>
    <row r="117" spans="1:7" ht="16">
      <c r="A117" s="344" t="s">
        <v>314</v>
      </c>
      <c r="B117" s="341" t="s">
        <v>689</v>
      </c>
      <c r="C117" s="345">
        <v>4.6158694622684474E-2</v>
      </c>
      <c r="D117" s="346">
        <v>0.10269734463277155</v>
      </c>
      <c r="E117" s="347">
        <v>5.1897344632771548E-2</v>
      </c>
      <c r="F117" s="347">
        <v>0.09</v>
      </c>
      <c r="G117" s="344" t="s">
        <v>359</v>
      </c>
    </row>
    <row r="118" spans="1:7" ht="16">
      <c r="A118" s="344" t="s">
        <v>495</v>
      </c>
      <c r="B118" s="341" t="s">
        <v>699</v>
      </c>
      <c r="C118" s="345">
        <v>2.2570584144158336E-2</v>
      </c>
      <c r="D118" s="346">
        <v>7.6176657495784075E-2</v>
      </c>
      <c r="E118" s="347">
        <v>2.5376657495784077E-2</v>
      </c>
      <c r="F118" s="347">
        <v>0.27979999999999999</v>
      </c>
      <c r="G118" s="344" t="s">
        <v>364</v>
      </c>
    </row>
    <row r="119" spans="1:7" ht="16">
      <c r="A119" s="344" t="s">
        <v>374</v>
      </c>
      <c r="B119" s="341" t="s">
        <v>719</v>
      </c>
      <c r="C119" s="345">
        <v>2.5623163147261721E-2</v>
      </c>
      <c r="D119" s="346">
        <v>7.9608746419394222E-2</v>
      </c>
      <c r="E119" s="347">
        <v>2.8808746419394224E-2</v>
      </c>
      <c r="F119" s="347">
        <v>0.31</v>
      </c>
      <c r="G119" s="344" t="s">
        <v>360</v>
      </c>
    </row>
    <row r="120" spans="1:7" ht="16">
      <c r="A120" s="344" t="s">
        <v>315</v>
      </c>
      <c r="B120" s="341" t="s">
        <v>701</v>
      </c>
      <c r="C120" s="345">
        <v>0.10249265258904688</v>
      </c>
      <c r="D120" s="346">
        <v>0.16603498567757691</v>
      </c>
      <c r="E120" s="347">
        <v>0.1152349856775769</v>
      </c>
      <c r="F120" s="347">
        <v>0.32</v>
      </c>
      <c r="G120" s="344" t="s">
        <v>360</v>
      </c>
    </row>
    <row r="121" spans="1:7" ht="16">
      <c r="A121" s="344" t="s">
        <v>733</v>
      </c>
      <c r="B121" s="348" t="s">
        <v>100</v>
      </c>
      <c r="C121" s="345">
        <v>6.6699999999999995E-2</v>
      </c>
      <c r="D121" s="349">
        <v>0.12579243458467948</v>
      </c>
      <c r="E121" s="347">
        <v>7.4992434584679482E-2</v>
      </c>
      <c r="F121" s="358">
        <v>0.25</v>
      </c>
      <c r="G121" s="344" t="s">
        <v>434</v>
      </c>
    </row>
    <row r="122" spans="1:7" ht="16">
      <c r="A122" s="344" t="s">
        <v>316</v>
      </c>
      <c r="B122" s="341" t="s">
        <v>719</v>
      </c>
      <c r="C122" s="345">
        <v>2.5623163147261721E-2</v>
      </c>
      <c r="D122" s="346">
        <v>7.9608746419394222E-2</v>
      </c>
      <c r="E122" s="347">
        <v>2.8808746419394224E-2</v>
      </c>
      <c r="F122" s="347">
        <v>0.32</v>
      </c>
      <c r="G122" s="344" t="s">
        <v>360</v>
      </c>
    </row>
    <row r="123" spans="1:7" ht="16">
      <c r="A123" s="344" t="s">
        <v>317</v>
      </c>
      <c r="B123" s="341" t="s">
        <v>696</v>
      </c>
      <c r="C123" s="345">
        <v>0</v>
      </c>
      <c r="D123" s="346">
        <v>5.0799999999999998E-2</v>
      </c>
      <c r="E123" s="347">
        <v>0</v>
      </c>
      <c r="F123" s="347">
        <v>0.25</v>
      </c>
      <c r="G123" s="344" t="s">
        <v>358</v>
      </c>
    </row>
    <row r="124" spans="1:7" ht="16">
      <c r="A124" s="352" t="s">
        <v>734</v>
      </c>
      <c r="B124" s="353" t="s">
        <v>100</v>
      </c>
      <c r="C124" s="354">
        <v>5.6135950527280355E-2</v>
      </c>
      <c r="D124" s="354">
        <v>0.11391501645825902</v>
      </c>
      <c r="E124" s="354">
        <v>6.311501645825901E-2</v>
      </c>
      <c r="F124" s="354">
        <v>0.24024843485035979</v>
      </c>
      <c r="G124" s="355" t="s">
        <v>364</v>
      </c>
    </row>
    <row r="125" spans="1:7" ht="16">
      <c r="A125" s="344" t="s">
        <v>318</v>
      </c>
      <c r="B125" s="341" t="s">
        <v>696</v>
      </c>
      <c r="C125" s="345">
        <v>0</v>
      </c>
      <c r="D125" s="346">
        <v>5.0799999999999998E-2</v>
      </c>
      <c r="E125" s="347">
        <v>0</v>
      </c>
      <c r="F125" s="347">
        <v>0.28000000000000003</v>
      </c>
      <c r="G125" s="344" t="s">
        <v>362</v>
      </c>
    </row>
    <row r="126" spans="1:7" ht="16">
      <c r="A126" s="344" t="s">
        <v>375</v>
      </c>
      <c r="B126" s="341" t="s">
        <v>692</v>
      </c>
      <c r="C126" s="345">
        <v>5.6426460360395843E-2</v>
      </c>
      <c r="D126" s="346">
        <v>0.11424164373946019</v>
      </c>
      <c r="E126" s="347">
        <v>6.3441643739460193E-2</v>
      </c>
      <c r="F126" s="347">
        <v>0.3</v>
      </c>
      <c r="G126" s="344" t="s">
        <v>361</v>
      </c>
    </row>
    <row r="127" spans="1:7" ht="16">
      <c r="A127" s="344" t="s">
        <v>735</v>
      </c>
      <c r="B127" s="348" t="s">
        <v>100</v>
      </c>
      <c r="C127" s="345">
        <v>0.12300000000000001</v>
      </c>
      <c r="D127" s="349">
        <v>0.18909189586080327</v>
      </c>
      <c r="E127" s="347">
        <v>0.13829189586080326</v>
      </c>
      <c r="F127" s="358">
        <v>0.28210000000000002</v>
      </c>
      <c r="G127" s="344" t="s">
        <v>360</v>
      </c>
    </row>
    <row r="128" spans="1:7" ht="16">
      <c r="A128" s="344" t="s">
        <v>319</v>
      </c>
      <c r="B128" s="341" t="s">
        <v>692</v>
      </c>
      <c r="C128" s="345">
        <v>5.6426460360395843E-2</v>
      </c>
      <c r="D128" s="346">
        <v>0.11424164373946019</v>
      </c>
      <c r="E128" s="347">
        <v>6.3441643739460193E-2</v>
      </c>
      <c r="F128" s="347">
        <v>0.3</v>
      </c>
      <c r="G128" s="344" t="s">
        <v>360</v>
      </c>
    </row>
    <row r="129" spans="1:7" ht="16">
      <c r="A129" s="344" t="s">
        <v>320</v>
      </c>
      <c r="B129" s="341" t="s">
        <v>696</v>
      </c>
      <c r="C129" s="345">
        <v>0</v>
      </c>
      <c r="D129" s="346">
        <v>5.0799999999999998E-2</v>
      </c>
      <c r="E129" s="347">
        <v>0</v>
      </c>
      <c r="F129" s="347">
        <v>0.24</v>
      </c>
      <c r="G129" s="344" t="s">
        <v>358</v>
      </c>
    </row>
    <row r="130" spans="1:7" ht="16">
      <c r="A130" s="344" t="s">
        <v>321</v>
      </c>
      <c r="B130" s="341" t="s">
        <v>691</v>
      </c>
      <c r="C130" s="345">
        <v>1.9518005141054957E-2</v>
      </c>
      <c r="D130" s="346">
        <v>7.2744568572173943E-2</v>
      </c>
      <c r="E130" s="347">
        <v>2.1944568572173941E-2</v>
      </c>
      <c r="F130" s="347">
        <v>0.15</v>
      </c>
      <c r="G130" s="344" t="s">
        <v>365</v>
      </c>
    </row>
    <row r="131" spans="1:7" ht="16">
      <c r="A131" s="344" t="s">
        <v>322</v>
      </c>
      <c r="B131" s="341" t="s">
        <v>704</v>
      </c>
      <c r="C131" s="345">
        <v>6.6694226098107226E-2</v>
      </c>
      <c r="D131" s="346">
        <v>0.12578594284614886</v>
      </c>
      <c r="E131" s="347">
        <v>7.4985942846148873E-2</v>
      </c>
      <c r="F131" s="347">
        <v>0.31</v>
      </c>
      <c r="G131" s="344" t="s">
        <v>434</v>
      </c>
    </row>
    <row r="132" spans="1:7" ht="16">
      <c r="A132" s="369" t="s">
        <v>736</v>
      </c>
      <c r="B132" s="341" t="s">
        <v>100</v>
      </c>
      <c r="C132" s="360">
        <v>1.4299515225693544E-2</v>
      </c>
      <c r="D132" s="360">
        <v>6.6877293255703935E-2</v>
      </c>
      <c r="E132" s="360">
        <v>1.6077293255703919E-2</v>
      </c>
      <c r="F132" s="360">
        <v>0.20562591555087256</v>
      </c>
      <c r="G132" s="344" t="s">
        <v>365</v>
      </c>
    </row>
    <row r="133" spans="1:7" ht="16">
      <c r="A133" s="344" t="s">
        <v>323</v>
      </c>
      <c r="B133" s="341" t="s">
        <v>691</v>
      </c>
      <c r="C133" s="345">
        <v>1.9518005141054957E-2</v>
      </c>
      <c r="D133" s="346">
        <v>7.2744568572173943E-2</v>
      </c>
      <c r="E133" s="347">
        <v>2.1944568572173941E-2</v>
      </c>
      <c r="F133" s="347">
        <v>0.25</v>
      </c>
      <c r="G133" s="344" t="s">
        <v>361</v>
      </c>
    </row>
    <row r="134" spans="1:7" ht="16">
      <c r="A134" s="344" t="s">
        <v>324</v>
      </c>
      <c r="B134" s="341" t="s">
        <v>692</v>
      </c>
      <c r="C134" s="345">
        <v>5.6426460360395843E-2</v>
      </c>
      <c r="D134" s="346">
        <v>0.11424164373946019</v>
      </c>
      <c r="E134" s="347">
        <v>6.3441643739460193E-2</v>
      </c>
      <c r="F134" s="347">
        <v>0.3</v>
      </c>
      <c r="G134" s="344" t="s">
        <v>434</v>
      </c>
    </row>
    <row r="135" spans="1:7" ht="16">
      <c r="A135" s="344" t="s">
        <v>325</v>
      </c>
      <c r="B135" s="341" t="s">
        <v>719</v>
      </c>
      <c r="C135" s="345">
        <v>2.5623163147261721E-2</v>
      </c>
      <c r="D135" s="346">
        <v>7.9608746419394222E-2</v>
      </c>
      <c r="E135" s="347">
        <v>2.8808746419394224E-2</v>
      </c>
      <c r="F135" s="347">
        <v>0.1</v>
      </c>
      <c r="G135" s="344" t="s">
        <v>361</v>
      </c>
    </row>
    <row r="136" spans="1:7" ht="16">
      <c r="A136" s="344" t="s">
        <v>326</v>
      </c>
      <c r="B136" s="341" t="s">
        <v>714</v>
      </c>
      <c r="C136" s="345">
        <v>1.2302818406446965E-2</v>
      </c>
      <c r="D136" s="346">
        <v>6.4632358389095423E-2</v>
      </c>
      <c r="E136" s="347">
        <v>1.3832358389095424E-2</v>
      </c>
      <c r="F136" s="347">
        <v>0.29499999999999998</v>
      </c>
      <c r="G136" s="344" t="s">
        <v>361</v>
      </c>
    </row>
    <row r="137" spans="1:7" ht="16">
      <c r="A137" s="344" t="s">
        <v>327</v>
      </c>
      <c r="B137" s="341" t="s">
        <v>691</v>
      </c>
      <c r="C137" s="345">
        <v>1.9518005141054957E-2</v>
      </c>
      <c r="D137" s="346">
        <v>7.2744568572173943E-2</v>
      </c>
      <c r="E137" s="347">
        <v>2.1944568572173941E-2</v>
      </c>
      <c r="F137" s="347">
        <v>0.3</v>
      </c>
      <c r="G137" s="344" t="s">
        <v>434</v>
      </c>
    </row>
    <row r="138" spans="1:7" ht="16">
      <c r="A138" s="344" t="s">
        <v>328</v>
      </c>
      <c r="B138" s="341" t="s">
        <v>706</v>
      </c>
      <c r="C138" s="345">
        <v>8.6952250391429675E-3</v>
      </c>
      <c r="D138" s="346">
        <v>6.0576253297556164E-2</v>
      </c>
      <c r="E138" s="347">
        <v>9.7762532975561641E-3</v>
      </c>
      <c r="F138" s="347">
        <v>0.19</v>
      </c>
      <c r="G138" s="344" t="s">
        <v>359</v>
      </c>
    </row>
    <row r="139" spans="1:7" ht="16">
      <c r="A139" s="344" t="s">
        <v>329</v>
      </c>
      <c r="B139" s="341" t="s">
        <v>719</v>
      </c>
      <c r="C139" s="345">
        <v>2.5623163147261721E-2</v>
      </c>
      <c r="D139" s="346">
        <v>7.9608746419394222E-2</v>
      </c>
      <c r="E139" s="347">
        <v>2.8808746419394224E-2</v>
      </c>
      <c r="F139" s="347">
        <v>0.21</v>
      </c>
      <c r="G139" s="344" t="s">
        <v>358</v>
      </c>
    </row>
    <row r="140" spans="1:7" ht="16">
      <c r="A140" s="344" t="s">
        <v>330</v>
      </c>
      <c r="B140" s="341" t="s">
        <v>703</v>
      </c>
      <c r="C140" s="345">
        <v>6.1976604002401993E-3</v>
      </c>
      <c r="D140" s="346">
        <v>5.7768180541875137E-2</v>
      </c>
      <c r="E140" s="347">
        <v>6.9681805418751368E-3</v>
      </c>
      <c r="F140" s="347">
        <v>0.1</v>
      </c>
      <c r="G140" s="344" t="s">
        <v>365</v>
      </c>
    </row>
    <row r="141" spans="1:7" ht="16">
      <c r="A141" s="344" t="s">
        <v>512</v>
      </c>
      <c r="B141" s="341" t="s">
        <v>706</v>
      </c>
      <c r="C141" s="345">
        <v>8.6952250391429675E-3</v>
      </c>
      <c r="D141" s="346">
        <v>6.0576253297556164E-2</v>
      </c>
      <c r="E141" s="347">
        <v>9.7762532975561641E-3</v>
      </c>
      <c r="F141" s="347">
        <v>0</v>
      </c>
      <c r="G141" s="344" t="s">
        <v>365</v>
      </c>
    </row>
    <row r="142" spans="1:7" ht="16">
      <c r="A142" s="369" t="s">
        <v>737</v>
      </c>
      <c r="B142" s="341" t="s">
        <v>100</v>
      </c>
      <c r="C142" s="360">
        <v>4.8597450282648981E-2</v>
      </c>
      <c r="D142" s="360">
        <v>0.10472492804705089</v>
      </c>
      <c r="E142" s="360">
        <v>5.4639297021045995E-2</v>
      </c>
      <c r="F142" s="360">
        <v>0.27613666030121992</v>
      </c>
      <c r="G142" s="344" t="s">
        <v>360</v>
      </c>
    </row>
    <row r="143" spans="1:7" ht="16">
      <c r="A143" s="344" t="s">
        <v>331</v>
      </c>
      <c r="B143" s="341" t="s">
        <v>699</v>
      </c>
      <c r="C143" s="345">
        <v>2.2570584144158336E-2</v>
      </c>
      <c r="D143" s="346">
        <v>7.6176657495784075E-2</v>
      </c>
      <c r="E143" s="347">
        <v>2.5376657495784077E-2</v>
      </c>
      <c r="F143" s="347">
        <v>0.16</v>
      </c>
      <c r="G143" s="344" t="s">
        <v>359</v>
      </c>
    </row>
    <row r="144" spans="1:7" ht="16">
      <c r="A144" s="344" t="s">
        <v>332</v>
      </c>
      <c r="B144" s="341" t="s">
        <v>719</v>
      </c>
      <c r="C144" s="345">
        <v>2.5623163147261721E-2</v>
      </c>
      <c r="D144" s="346">
        <v>7.9608746419394222E-2</v>
      </c>
      <c r="E144" s="347">
        <v>2.8808746419394224E-2</v>
      </c>
      <c r="F144" s="347">
        <v>0.2</v>
      </c>
      <c r="G144" s="344" t="s">
        <v>359</v>
      </c>
    </row>
    <row r="145" spans="1:7" ht="16">
      <c r="A145" s="344" t="s">
        <v>496</v>
      </c>
      <c r="B145" s="341" t="s">
        <v>692</v>
      </c>
      <c r="C145" s="345">
        <v>5.6426460360395843E-2</v>
      </c>
      <c r="D145" s="346">
        <v>0.11424164373946019</v>
      </c>
      <c r="E145" s="347">
        <v>6.3441643739460193E-2</v>
      </c>
      <c r="F145" s="347">
        <v>0.3</v>
      </c>
      <c r="G145" s="344" t="s">
        <v>360</v>
      </c>
    </row>
    <row r="146" spans="1:7" ht="16">
      <c r="A146" s="357" t="s">
        <v>738</v>
      </c>
      <c r="B146" s="341" t="s">
        <v>100</v>
      </c>
      <c r="C146" s="360">
        <v>5.6135950527280355E-2</v>
      </c>
      <c r="D146" s="360">
        <v>0.11391501645825902</v>
      </c>
      <c r="E146" s="360">
        <v>6.311501645825901E-2</v>
      </c>
      <c r="F146" s="360">
        <v>0.24024843485035979</v>
      </c>
      <c r="G146" s="344" t="s">
        <v>364</v>
      </c>
    </row>
    <row r="147" spans="1:7" ht="16">
      <c r="A147" s="344" t="s">
        <v>333</v>
      </c>
      <c r="B147" s="341" t="s">
        <v>710</v>
      </c>
      <c r="C147" s="345">
        <v>7.2151867346079935E-3</v>
      </c>
      <c r="D147" s="346">
        <v>5.8912210183078517E-2</v>
      </c>
      <c r="E147" s="347">
        <v>8.1122101830785175E-3</v>
      </c>
      <c r="F147" s="347">
        <v>0.2</v>
      </c>
      <c r="G147" s="344" t="s">
        <v>365</v>
      </c>
    </row>
    <row r="148" spans="1:7" ht="16">
      <c r="A148" s="344" t="s">
        <v>376</v>
      </c>
      <c r="B148" s="341" t="s">
        <v>700</v>
      </c>
      <c r="C148" s="345">
        <v>3.6908455219340892E-2</v>
      </c>
      <c r="D148" s="346">
        <v>9.2297075167286274E-2</v>
      </c>
      <c r="E148" s="347">
        <v>4.1497075167286269E-2</v>
      </c>
      <c r="F148" s="347">
        <v>0.3</v>
      </c>
      <c r="G148" s="344" t="s">
        <v>360</v>
      </c>
    </row>
    <row r="149" spans="1:7" ht="16">
      <c r="A149" s="344" t="s">
        <v>334</v>
      </c>
      <c r="B149" s="341" t="s">
        <v>700</v>
      </c>
      <c r="C149" s="345">
        <v>3.6908455219340892E-2</v>
      </c>
      <c r="D149" s="346">
        <v>9.2297075167286274E-2</v>
      </c>
      <c r="E149" s="347">
        <v>4.1497075167286269E-2</v>
      </c>
      <c r="F149" s="347">
        <v>0.15</v>
      </c>
      <c r="G149" s="344" t="s">
        <v>359</v>
      </c>
    </row>
    <row r="150" spans="1:7" ht="16">
      <c r="A150" s="344" t="s">
        <v>513</v>
      </c>
      <c r="B150" s="341" t="s">
        <v>714</v>
      </c>
      <c r="C150" s="345">
        <v>1.2302818406446965E-2</v>
      </c>
      <c r="D150" s="346">
        <v>6.4632358389095423E-2</v>
      </c>
      <c r="E150" s="347">
        <v>1.3832358389095424E-2</v>
      </c>
      <c r="F150" s="347">
        <v>0</v>
      </c>
      <c r="G150" s="344" t="s">
        <v>365</v>
      </c>
    </row>
    <row r="151" spans="1:7" ht="16">
      <c r="A151" s="344" t="s">
        <v>739</v>
      </c>
      <c r="B151" s="348" t="s">
        <v>100</v>
      </c>
      <c r="C151" s="345">
        <v>0.12300000000000001</v>
      </c>
      <c r="D151" s="349">
        <v>0.18909189586080327</v>
      </c>
      <c r="E151" s="347">
        <v>0.13829189586080326</v>
      </c>
      <c r="F151" s="358">
        <v>0.3</v>
      </c>
      <c r="G151" s="344" t="s">
        <v>360</v>
      </c>
    </row>
    <row r="152" spans="1:7" ht="16">
      <c r="A152" s="344" t="s">
        <v>335</v>
      </c>
      <c r="B152" s="341" t="s">
        <v>696</v>
      </c>
      <c r="C152" s="345">
        <v>0</v>
      </c>
      <c r="D152" s="346">
        <v>5.0799999999999998E-2</v>
      </c>
      <c r="E152" s="347">
        <v>0</v>
      </c>
      <c r="F152" s="347">
        <v>0.17</v>
      </c>
      <c r="G152" s="344" t="s">
        <v>434</v>
      </c>
    </row>
    <row r="153" spans="1:7" ht="16">
      <c r="A153" s="344" t="s">
        <v>377</v>
      </c>
      <c r="B153" s="341" t="s">
        <v>706</v>
      </c>
      <c r="C153" s="345">
        <v>8.6952250391429675E-3</v>
      </c>
      <c r="D153" s="346">
        <v>6.0576253297556164E-2</v>
      </c>
      <c r="E153" s="347">
        <v>9.7762532975561641E-3</v>
      </c>
      <c r="F153" s="347">
        <v>0.21</v>
      </c>
      <c r="G153" s="344" t="s">
        <v>359</v>
      </c>
    </row>
    <row r="154" spans="1:7" ht="16">
      <c r="A154" s="344" t="s">
        <v>336</v>
      </c>
      <c r="B154" s="341" t="s">
        <v>695</v>
      </c>
      <c r="C154" s="345">
        <v>1.637292374391814E-2</v>
      </c>
      <c r="D154" s="346">
        <v>6.9208476953908943E-2</v>
      </c>
      <c r="E154" s="347">
        <v>1.8408476953908945E-2</v>
      </c>
      <c r="F154" s="347">
        <v>0.19</v>
      </c>
      <c r="G154" s="344" t="s">
        <v>359</v>
      </c>
    </row>
    <row r="155" spans="1:7" ht="16">
      <c r="A155" s="357" t="s">
        <v>740</v>
      </c>
      <c r="B155" s="341" t="s">
        <v>100</v>
      </c>
      <c r="C155" s="360">
        <v>1.0582088803118707E-2</v>
      </c>
      <c r="D155" s="360">
        <v>6.2697700184964747E-2</v>
      </c>
      <c r="E155" s="360">
        <v>1.1897700184964751E-2</v>
      </c>
      <c r="F155" s="360">
        <v>0.25928934779030921</v>
      </c>
      <c r="G155" s="344" t="s">
        <v>434</v>
      </c>
    </row>
    <row r="156" spans="1:7" ht="16">
      <c r="A156" s="344" t="s">
        <v>741</v>
      </c>
      <c r="B156" s="348" t="s">
        <v>100</v>
      </c>
      <c r="C156" s="345">
        <v>0.12300000000000001</v>
      </c>
      <c r="D156" s="349">
        <v>0.18909189586080327</v>
      </c>
      <c r="E156" s="347">
        <v>0.13829189586080326</v>
      </c>
      <c r="F156" s="358">
        <v>0.2</v>
      </c>
      <c r="G156" s="344" t="s">
        <v>360</v>
      </c>
    </row>
    <row r="157" spans="1:7" ht="16">
      <c r="A157" s="344" t="s">
        <v>337</v>
      </c>
      <c r="B157" s="341" t="s">
        <v>699</v>
      </c>
      <c r="C157" s="345">
        <v>2.2570584144158336E-2</v>
      </c>
      <c r="D157" s="346">
        <v>7.6176657495784075E-2</v>
      </c>
      <c r="E157" s="347">
        <v>2.5376657495784077E-2</v>
      </c>
      <c r="F157" s="347">
        <v>0.28000000000000003</v>
      </c>
      <c r="G157" s="344" t="s">
        <v>360</v>
      </c>
    </row>
    <row r="158" spans="1:7" ht="16">
      <c r="A158" s="344" t="s">
        <v>338</v>
      </c>
      <c r="B158" s="341" t="s">
        <v>691</v>
      </c>
      <c r="C158" s="345">
        <v>1.9518005141054957E-2</v>
      </c>
      <c r="D158" s="346">
        <v>7.2744568572173943E-2</v>
      </c>
      <c r="E158" s="347">
        <v>2.1944568572173941E-2</v>
      </c>
      <c r="F158" s="347">
        <v>0.25</v>
      </c>
      <c r="G158" s="344" t="s">
        <v>358</v>
      </c>
    </row>
    <row r="159" spans="1:7" ht="16">
      <c r="A159" s="344" t="s">
        <v>339</v>
      </c>
      <c r="B159" s="341" t="s">
        <v>689</v>
      </c>
      <c r="C159" s="345">
        <v>4.6158694622684474E-2</v>
      </c>
      <c r="D159" s="346">
        <v>0.10269734463277155</v>
      </c>
      <c r="E159" s="347">
        <v>5.1897344632771548E-2</v>
      </c>
      <c r="F159" s="347">
        <v>0.28000000000000003</v>
      </c>
      <c r="G159" s="344" t="s">
        <v>434</v>
      </c>
    </row>
    <row r="160" spans="1:7" ht="16">
      <c r="A160" s="344" t="s">
        <v>436</v>
      </c>
      <c r="B160" s="341" t="s">
        <v>691</v>
      </c>
      <c r="C160" s="345">
        <v>1.9518005141054957E-2</v>
      </c>
      <c r="D160" s="346">
        <v>7.2744568572173943E-2</v>
      </c>
      <c r="E160" s="347">
        <v>2.1944568572173941E-2</v>
      </c>
      <c r="F160" s="347">
        <v>0.34499999999999997</v>
      </c>
      <c r="G160" s="344" t="s">
        <v>364</v>
      </c>
    </row>
    <row r="161" spans="1:7" ht="16">
      <c r="A161" s="344" t="s">
        <v>378</v>
      </c>
      <c r="B161" s="341" t="s">
        <v>704</v>
      </c>
      <c r="C161" s="345">
        <v>6.6694226098107226E-2</v>
      </c>
      <c r="D161" s="346">
        <v>0.12578594284614886</v>
      </c>
      <c r="E161" s="347">
        <v>7.4985942846148873E-2</v>
      </c>
      <c r="F161" s="347">
        <v>0.27979999999999999</v>
      </c>
      <c r="G161" s="344" t="s">
        <v>364</v>
      </c>
    </row>
    <row r="162" spans="1:7" ht="16">
      <c r="A162" s="344" t="s">
        <v>742</v>
      </c>
      <c r="B162" s="348" t="s">
        <v>100</v>
      </c>
      <c r="C162" s="345">
        <v>0.17999999999999997</v>
      </c>
      <c r="D162" s="349">
        <v>0.25317838418654132</v>
      </c>
      <c r="E162" s="347">
        <v>0.2023783841865413</v>
      </c>
      <c r="F162" s="358">
        <v>0.35</v>
      </c>
      <c r="G162" s="344" t="s">
        <v>360</v>
      </c>
    </row>
    <row r="163" spans="1:7" ht="16">
      <c r="A163" s="344" t="s">
        <v>379</v>
      </c>
      <c r="B163" s="341" t="s">
        <v>689</v>
      </c>
      <c r="C163" s="345">
        <v>4.6158694622684474E-2</v>
      </c>
      <c r="D163" s="346">
        <v>0.10269734463277155</v>
      </c>
      <c r="E163" s="347">
        <v>5.1897344632771548E-2</v>
      </c>
      <c r="F163" s="347">
        <v>0.36</v>
      </c>
      <c r="G163" s="344" t="s">
        <v>361</v>
      </c>
    </row>
    <row r="164" spans="1:7" ht="16">
      <c r="A164" s="344" t="s">
        <v>743</v>
      </c>
      <c r="B164" s="370" t="s">
        <v>692</v>
      </c>
      <c r="C164" s="345">
        <v>0</v>
      </c>
      <c r="D164" s="371">
        <v>5.0799999999999998E-2</v>
      </c>
      <c r="E164" s="372">
        <v>0</v>
      </c>
      <c r="F164" s="360">
        <v>0.27500000000000002</v>
      </c>
      <c r="G164" s="373" t="s">
        <v>360</v>
      </c>
    </row>
    <row r="165" spans="1:7" ht="16">
      <c r="A165" s="344" t="s">
        <v>340</v>
      </c>
      <c r="B165" s="370" t="s">
        <v>696</v>
      </c>
      <c r="C165" s="345">
        <v>0</v>
      </c>
      <c r="D165" s="371">
        <v>5.0799999999999998E-2</v>
      </c>
      <c r="E165" s="372">
        <v>0</v>
      </c>
      <c r="F165" s="360">
        <v>0.22</v>
      </c>
      <c r="G165" s="373" t="s">
        <v>358</v>
      </c>
    </row>
    <row r="166" spans="1:7" ht="16">
      <c r="A166" s="344" t="s">
        <v>341</v>
      </c>
      <c r="B166" s="370" t="s">
        <v>696</v>
      </c>
      <c r="C166" s="345">
        <v>0</v>
      </c>
      <c r="D166" s="371">
        <v>5.0799999999999998E-2</v>
      </c>
      <c r="E166" s="372">
        <v>0</v>
      </c>
      <c r="F166" s="360">
        <v>0.1777</v>
      </c>
      <c r="G166" s="373" t="s">
        <v>358</v>
      </c>
    </row>
    <row r="167" spans="1:7" ht="16">
      <c r="A167" s="344" t="s">
        <v>744</v>
      </c>
      <c r="B167" s="374" t="s">
        <v>100</v>
      </c>
      <c r="C167" s="345">
        <v>0.17999999999999997</v>
      </c>
      <c r="D167" s="375">
        <v>0.25317838418654132</v>
      </c>
      <c r="E167" s="376">
        <v>0.2023783841865413</v>
      </c>
      <c r="F167" s="345">
        <v>0.28000000000000003</v>
      </c>
      <c r="G167" s="373" t="s">
        <v>365</v>
      </c>
    </row>
    <row r="168" spans="1:7" ht="16">
      <c r="A168" s="344" t="s">
        <v>342</v>
      </c>
      <c r="B168" s="370" t="s">
        <v>703</v>
      </c>
      <c r="C168" s="345">
        <v>6.1976604002401993E-3</v>
      </c>
      <c r="D168" s="371">
        <v>5.7768180541875137E-2</v>
      </c>
      <c r="E168" s="372">
        <v>6.9681805418751368E-3</v>
      </c>
      <c r="F168" s="360">
        <v>0.17</v>
      </c>
      <c r="G168" s="373" t="s">
        <v>434</v>
      </c>
    </row>
    <row r="169" spans="1:7" ht="16">
      <c r="A169" s="344" t="s">
        <v>745</v>
      </c>
      <c r="B169" s="370" t="s">
        <v>704</v>
      </c>
      <c r="C169" s="345">
        <v>2.5623163147261721E-2</v>
      </c>
      <c r="D169" s="371">
        <v>7.9608746419394222E-2</v>
      </c>
      <c r="E169" s="372">
        <v>2.8808746419394224E-2</v>
      </c>
      <c r="F169" s="360">
        <v>0</v>
      </c>
      <c r="G169" s="377" t="s">
        <v>359</v>
      </c>
    </row>
    <row r="170" spans="1:7" ht="16">
      <c r="A170" s="344" t="s">
        <v>746</v>
      </c>
      <c r="B170" s="374" t="s">
        <v>100</v>
      </c>
      <c r="C170" s="345">
        <v>6.6699999999999995E-2</v>
      </c>
      <c r="D170" s="375">
        <v>0.12579243458467948</v>
      </c>
      <c r="E170" s="376">
        <v>7.4992434584679482E-2</v>
      </c>
      <c r="F170" s="345">
        <v>0.3</v>
      </c>
      <c r="G170" s="378" t="s">
        <v>360</v>
      </c>
    </row>
    <row r="171" spans="1:7" ht="16">
      <c r="A171" s="344" t="s">
        <v>343</v>
      </c>
      <c r="B171" s="370" t="s">
        <v>695</v>
      </c>
      <c r="C171" s="345">
        <v>1.637292374391814E-2</v>
      </c>
      <c r="D171" s="371">
        <v>6.9208476953908943E-2</v>
      </c>
      <c r="E171" s="372">
        <v>1.8408476953908945E-2</v>
      </c>
      <c r="F171" s="360">
        <v>0.2</v>
      </c>
      <c r="G171" s="377" t="s">
        <v>434</v>
      </c>
    </row>
    <row r="172" spans="1:7" ht="16">
      <c r="A172" s="344" t="s">
        <v>747</v>
      </c>
      <c r="B172" s="374" t="s">
        <v>100</v>
      </c>
      <c r="C172" s="345">
        <v>7.6899999999999996E-2</v>
      </c>
      <c r="D172" s="375">
        <v>0.13726054302191681</v>
      </c>
      <c r="E172" s="376">
        <v>8.6460543021916816E-2</v>
      </c>
      <c r="F172" s="345">
        <v>0.28670000000000001</v>
      </c>
      <c r="G172" s="378" t="s">
        <v>360</v>
      </c>
    </row>
    <row r="173" spans="1:7" ht="16">
      <c r="A173" s="357" t="s">
        <v>748</v>
      </c>
      <c r="B173" s="370" t="s">
        <v>719</v>
      </c>
      <c r="C173" s="345">
        <v>2.5623163147261721E-2</v>
      </c>
      <c r="D173" s="371">
        <v>7.9608746419394222E-2</v>
      </c>
      <c r="E173" s="372">
        <v>2.8808746419394224E-2</v>
      </c>
      <c r="F173" s="360">
        <v>0.25</v>
      </c>
      <c r="G173" s="377" t="s">
        <v>364</v>
      </c>
    </row>
    <row r="174" spans="1:7" ht="16">
      <c r="A174" s="344" t="s">
        <v>344</v>
      </c>
      <c r="B174" s="370" t="s">
        <v>689</v>
      </c>
      <c r="C174" s="345">
        <v>4.6158694622684474E-2</v>
      </c>
      <c r="D174" s="371">
        <v>0.10269734463277155</v>
      </c>
      <c r="E174" s="372">
        <v>5.1897344632771548E-2</v>
      </c>
      <c r="F174" s="360">
        <v>0.25</v>
      </c>
      <c r="G174" s="377" t="s">
        <v>360</v>
      </c>
    </row>
    <row r="175" spans="1:7" ht="16">
      <c r="A175" s="344" t="s">
        <v>345</v>
      </c>
      <c r="B175" s="370" t="s">
        <v>719</v>
      </c>
      <c r="C175" s="345">
        <v>2.5623163147261721E-2</v>
      </c>
      <c r="D175" s="371">
        <v>7.9608746419394222E-2</v>
      </c>
      <c r="E175" s="372">
        <v>2.8808746419394224E-2</v>
      </c>
      <c r="F175" s="360">
        <v>0.2</v>
      </c>
      <c r="G175" s="377" t="s">
        <v>358</v>
      </c>
    </row>
    <row r="176" spans="1:7" ht="16">
      <c r="A176" s="357" t="s">
        <v>749</v>
      </c>
      <c r="B176" s="370" t="s">
        <v>695</v>
      </c>
      <c r="C176" s="345">
        <v>1.637292374391814E-2</v>
      </c>
      <c r="D176" s="371">
        <v>6.9208476953908943E-2</v>
      </c>
      <c r="E176" s="372">
        <v>1.8408476953908945E-2</v>
      </c>
      <c r="F176" s="360">
        <v>0</v>
      </c>
      <c r="G176" s="377" t="s">
        <v>364</v>
      </c>
    </row>
    <row r="177" spans="1:7" ht="16">
      <c r="A177" s="344" t="s">
        <v>437</v>
      </c>
      <c r="B177" s="370" t="s">
        <v>692</v>
      </c>
      <c r="C177" s="345">
        <v>5.6426460360395843E-2</v>
      </c>
      <c r="D177" s="371">
        <v>0.11424164373946019</v>
      </c>
      <c r="E177" s="372">
        <v>6.3441643739460193E-2</v>
      </c>
      <c r="F177" s="360">
        <v>0.3</v>
      </c>
      <c r="G177" s="377" t="s">
        <v>360</v>
      </c>
    </row>
    <row r="178" spans="1:7" ht="16">
      <c r="A178" s="344" t="s">
        <v>346</v>
      </c>
      <c r="B178" s="370" t="s">
        <v>711</v>
      </c>
      <c r="C178" s="345">
        <v>9.2317389245368947E-2</v>
      </c>
      <c r="D178" s="371">
        <v>0.15459468926554309</v>
      </c>
      <c r="E178" s="372">
        <v>0.1037946892655431</v>
      </c>
      <c r="F178" s="360">
        <v>0.18</v>
      </c>
      <c r="G178" s="377" t="s">
        <v>359</v>
      </c>
    </row>
    <row r="179" spans="1:7" ht="16">
      <c r="A179" s="344" t="s">
        <v>347</v>
      </c>
      <c r="B179" s="370" t="s">
        <v>688</v>
      </c>
      <c r="C179" s="345">
        <v>5.0876316718389695E-3</v>
      </c>
      <c r="D179" s="371">
        <v>5.6520148206016904E-2</v>
      </c>
      <c r="E179" s="372">
        <v>5.7201482060169036E-3</v>
      </c>
      <c r="F179" s="360">
        <v>0.55000000000000004</v>
      </c>
      <c r="G179" s="377" t="s">
        <v>365</v>
      </c>
    </row>
    <row r="180" spans="1:7" ht="16">
      <c r="A180" s="344" t="s">
        <v>348</v>
      </c>
      <c r="B180" s="370" t="s">
        <v>688</v>
      </c>
      <c r="C180" s="345">
        <v>5.0876316718389695E-3</v>
      </c>
      <c r="D180" s="371">
        <v>5.6520148206016904E-2</v>
      </c>
      <c r="E180" s="372">
        <v>5.7201482060169036E-3</v>
      </c>
      <c r="F180" s="360">
        <v>0.2</v>
      </c>
      <c r="G180" s="377" t="s">
        <v>358</v>
      </c>
    </row>
    <row r="181" spans="1:7" ht="16">
      <c r="A181" s="344" t="s">
        <v>349</v>
      </c>
      <c r="B181" s="370" t="s">
        <v>696</v>
      </c>
      <c r="C181" s="345">
        <v>0</v>
      </c>
      <c r="D181" s="371">
        <v>5.0799999999999998E-2</v>
      </c>
      <c r="E181" s="372">
        <v>0</v>
      </c>
      <c r="F181" s="360">
        <v>0.24</v>
      </c>
      <c r="G181" s="377" t="s">
        <v>367</v>
      </c>
    </row>
    <row r="182" spans="1:7" ht="16">
      <c r="A182" s="344" t="s">
        <v>350</v>
      </c>
      <c r="B182" s="370" t="s">
        <v>691</v>
      </c>
      <c r="C182" s="345">
        <v>1.9518005141054957E-2</v>
      </c>
      <c r="D182" s="371">
        <v>7.2744568572173943E-2</v>
      </c>
      <c r="E182" s="372">
        <v>2.1944568572173941E-2</v>
      </c>
      <c r="F182" s="360">
        <v>0.25</v>
      </c>
      <c r="G182" s="377" t="s">
        <v>361</v>
      </c>
    </row>
    <row r="183" spans="1:7" ht="16">
      <c r="A183" s="344" t="s">
        <v>351</v>
      </c>
      <c r="B183" s="370" t="s">
        <v>701</v>
      </c>
      <c r="C183" s="345">
        <v>0.10249265258904688</v>
      </c>
      <c r="D183" s="371">
        <v>0.16603498567757691</v>
      </c>
      <c r="E183" s="372">
        <v>0.1152349856775769</v>
      </c>
      <c r="F183" s="360">
        <v>0.34</v>
      </c>
      <c r="G183" s="377" t="s">
        <v>361</v>
      </c>
    </row>
    <row r="184" spans="1:7" ht="16">
      <c r="A184" s="344" t="s">
        <v>352</v>
      </c>
      <c r="B184" s="370" t="s">
        <v>689</v>
      </c>
      <c r="C184" s="345">
        <v>4.6158694622684474E-2</v>
      </c>
      <c r="D184" s="371">
        <v>0.10269734463277155</v>
      </c>
      <c r="E184" s="372">
        <v>5.1897344632771548E-2</v>
      </c>
      <c r="F184" s="360">
        <v>0.2</v>
      </c>
      <c r="G184" s="377" t="s">
        <v>434</v>
      </c>
    </row>
    <row r="185" spans="1:7" ht="16">
      <c r="A185" s="344" t="s">
        <v>750</v>
      </c>
      <c r="B185" s="374" t="s">
        <v>100</v>
      </c>
      <c r="C185" s="345">
        <v>0.17999999999999997</v>
      </c>
      <c r="D185" s="375">
        <v>0.25317838418654132</v>
      </c>
      <c r="E185" s="376">
        <v>0.2023783841865413</v>
      </c>
      <c r="F185" s="345">
        <v>0.2</v>
      </c>
      <c r="G185" s="378" t="s">
        <v>360</v>
      </c>
    </row>
    <row r="186" spans="1:7" ht="16">
      <c r="A186" s="344" t="s">
        <v>353</v>
      </c>
      <c r="B186" s="370" t="s">
        <v>704</v>
      </c>
      <c r="C186" s="345">
        <v>6.6694226098107226E-2</v>
      </c>
      <c r="D186" s="371">
        <v>0.12578594284614886</v>
      </c>
      <c r="E186" s="372">
        <v>7.4985942846148873E-2</v>
      </c>
      <c r="F186" s="360">
        <v>0.35</v>
      </c>
      <c r="G186" s="377" t="s">
        <v>360</v>
      </c>
    </row>
    <row r="187" spans="1:7" ht="16">
      <c r="A187" s="344" t="s">
        <v>751</v>
      </c>
      <c r="B187" s="374" t="s">
        <v>100</v>
      </c>
      <c r="C187" s="345">
        <v>9.2300000000000007E-2</v>
      </c>
      <c r="D187" s="375">
        <v>0.15457513811343204</v>
      </c>
      <c r="E187" s="376">
        <v>0.10377513811343204</v>
      </c>
      <c r="F187" s="345">
        <v>0.25</v>
      </c>
      <c r="G187" s="378" t="s">
        <v>360</v>
      </c>
    </row>
    <row r="190" spans="1:7">
      <c r="A190" s="254"/>
      <c r="B190" s="379" t="s">
        <v>381</v>
      </c>
      <c r="C190" s="379" t="s">
        <v>752</v>
      </c>
      <c r="D190" s="379" t="s">
        <v>142</v>
      </c>
    </row>
    <row r="191" spans="1:7">
      <c r="A191" s="1" t="s">
        <v>753</v>
      </c>
      <c r="B191" s="3">
        <v>8.1097357319341576E-2</v>
      </c>
      <c r="C191" s="3">
        <v>2.694716799623581E-2</v>
      </c>
      <c r="D191" s="3">
        <v>0.23255990978963972</v>
      </c>
    </row>
    <row r="192" spans="1:7">
      <c r="A192" s="1" t="s">
        <v>754</v>
      </c>
      <c r="B192" s="3">
        <v>5.0821323659433773E-2</v>
      </c>
      <c r="C192" s="3">
        <v>1.8965754240544199E-5</v>
      </c>
      <c r="D192" s="3">
        <v>0.28027734502062968</v>
      </c>
    </row>
    <row r="193" spans="1:4">
      <c r="A193" s="1" t="s">
        <v>755</v>
      </c>
      <c r="B193" s="3">
        <v>8.7504940939532608E-2</v>
      </c>
      <c r="C193" s="3">
        <v>2.0003293959688404E-2</v>
      </c>
      <c r="D193" s="3">
        <v>0.27150000000000002</v>
      </c>
    </row>
    <row r="194" spans="1:4">
      <c r="A194" s="1" t="s">
        <v>301</v>
      </c>
      <c r="B194" s="3">
        <v>5.8912210183078517E-2</v>
      </c>
      <c r="C194" s="3">
        <v>7.2151867346079935E-3</v>
      </c>
      <c r="D194" s="3">
        <v>0.35639999999999999</v>
      </c>
    </row>
    <row r="195" spans="1:4">
      <c r="A195" s="1" t="s">
        <v>756</v>
      </c>
      <c r="B195" s="3">
        <v>5.0799999999999998E-2</v>
      </c>
      <c r="C195" s="3">
        <v>0</v>
      </c>
      <c r="D195" s="3">
        <v>0.4</v>
      </c>
    </row>
    <row r="196" spans="1:4">
      <c r="A196" s="1" t="s">
        <v>757</v>
      </c>
      <c r="B196" s="3">
        <v>6.0058130025645251E-2</v>
      </c>
      <c r="C196" s="3">
        <v>8.2343942576401426E-3</v>
      </c>
      <c r="D196" s="3">
        <v>0.3</v>
      </c>
    </row>
    <row r="197" spans="1:4">
      <c r="A197" s="1" t="s">
        <v>758</v>
      </c>
      <c r="B197" s="3">
        <v>7.1410010078473682E-2</v>
      </c>
      <c r="C197" s="3">
        <v>9.2733400523157868E-3</v>
      </c>
      <c r="D197" s="3">
        <v>0.25</v>
      </c>
    </row>
    <row r="198" spans="1:4">
      <c r="A198" s="1" t="s">
        <v>759</v>
      </c>
      <c r="B198" s="3">
        <v>6.9263797657406354E-2</v>
      </c>
      <c r="C198" s="3">
        <v>7.8425317716042334E-3</v>
      </c>
      <c r="D198" s="3">
        <v>0.2</v>
      </c>
    </row>
    <row r="199" spans="1:4">
      <c r="A199" s="1" t="s">
        <v>367</v>
      </c>
      <c r="B199" s="3">
        <v>5.0799999999999998E-2</v>
      </c>
      <c r="C199" s="3">
        <v>0</v>
      </c>
      <c r="D199" s="3">
        <v>0.26500000000000001</v>
      </c>
    </row>
    <row r="201" spans="1:4">
      <c r="A201" s="1" t="s">
        <v>497</v>
      </c>
      <c r="B201" s="3">
        <v>6.2100000000000002E-2</v>
      </c>
      <c r="C201" s="3">
        <v>0.01</v>
      </c>
      <c r="D201" s="3">
        <v>0.3</v>
      </c>
    </row>
  </sheetData>
  <pageMargins left="0.75" right="0.75" top="1" bottom="1" header="0.5" footer="0.5"/>
  <pageSetup orientation="portrait" horizontalDpi="4294967292" verticalDpi="4294967292"/>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32"/>
  <sheetViews>
    <sheetView workbookViewId="0">
      <selection activeCell="D30" sqref="D30"/>
    </sheetView>
  </sheetViews>
  <sheetFormatPr baseColWidth="10" defaultColWidth="11.5" defaultRowHeight="12"/>
  <cols>
    <col min="1" max="1" width="34" bestFit="1" customWidth="1"/>
    <col min="2" max="2" width="16" style="180" customWidth="1"/>
    <col min="3" max="3" width="19.83203125" style="180" bestFit="1" customWidth="1"/>
    <col min="4" max="4" width="22.1640625" style="180" bestFit="1" customWidth="1"/>
    <col min="5" max="5" width="14.1640625" bestFit="1" customWidth="1"/>
  </cols>
  <sheetData>
    <row r="1" spans="1:5">
      <c r="B1" s="160" t="s">
        <v>397</v>
      </c>
      <c r="C1" s="160" t="s">
        <v>430</v>
      </c>
      <c r="D1" s="160" t="s">
        <v>431</v>
      </c>
      <c r="E1" s="199" t="s">
        <v>398</v>
      </c>
    </row>
    <row r="2" spans="1:5" ht="13">
      <c r="A2" s="60" t="s">
        <v>11</v>
      </c>
      <c r="B2" s="200">
        <v>215639</v>
      </c>
      <c r="C2" s="200">
        <v>75872</v>
      </c>
      <c r="D2" s="200">
        <v>78351</v>
      </c>
      <c r="E2" s="201">
        <f>B2-C2+D2</f>
        <v>218118</v>
      </c>
    </row>
    <row r="3" spans="1:5" ht="13">
      <c r="A3" s="60" t="s">
        <v>427</v>
      </c>
      <c r="B3" s="200">
        <v>10045</v>
      </c>
      <c r="C3" s="200">
        <v>2404</v>
      </c>
      <c r="D3" s="200">
        <v>2871</v>
      </c>
      <c r="E3" s="201">
        <f>B3-C3+D3</f>
        <v>10512</v>
      </c>
    </row>
    <row r="4" spans="1:5" ht="13">
      <c r="A4" s="60" t="s">
        <v>29</v>
      </c>
      <c r="B4" s="200">
        <v>60024</v>
      </c>
      <c r="C4" s="200">
        <v>24171</v>
      </c>
      <c r="D4" s="200">
        <v>23359</v>
      </c>
      <c r="E4" s="201">
        <f>B4-C4+D4</f>
        <v>59212</v>
      </c>
    </row>
    <row r="5" spans="1:5" ht="13">
      <c r="A5" s="60" t="s">
        <v>442</v>
      </c>
      <c r="B5" s="200">
        <v>1456</v>
      </c>
      <c r="C5" s="200">
        <v>276</v>
      </c>
      <c r="D5" s="200">
        <v>525</v>
      </c>
      <c r="E5" s="201">
        <f>B5-C5+D5</f>
        <v>1705</v>
      </c>
    </row>
    <row r="6" spans="1:5" ht="13">
      <c r="A6" s="60" t="s">
        <v>30</v>
      </c>
      <c r="B6" s="200">
        <v>128249</v>
      </c>
      <c r="C6" s="200"/>
      <c r="D6" s="200">
        <v>132390</v>
      </c>
      <c r="E6" s="201"/>
    </row>
    <row r="7" spans="1:5" ht="13">
      <c r="A7" s="60" t="s">
        <v>31</v>
      </c>
      <c r="B7" s="200">
        <f>75427+8105+3500</f>
        <v>87032</v>
      </c>
      <c r="C7" s="200"/>
      <c r="D7" s="200">
        <f>10493+3499+73557</f>
        <v>87549</v>
      </c>
      <c r="E7" s="201"/>
    </row>
    <row r="8" spans="1:5" ht="13">
      <c r="A8" s="60" t="s">
        <v>246</v>
      </c>
      <c r="B8" s="200"/>
      <c r="C8" s="200"/>
      <c r="D8" s="200"/>
      <c r="E8" s="201"/>
    </row>
    <row r="9" spans="1:5" ht="13">
      <c r="A9" s="60" t="s">
        <v>247</v>
      </c>
      <c r="B9" s="200">
        <f>20484+46671+170430</f>
        <v>237585</v>
      </c>
      <c r="C9" s="200"/>
      <c r="D9" s="200">
        <f>16371+44081+184638</f>
        <v>245090</v>
      </c>
      <c r="E9" s="201"/>
    </row>
    <row r="10" spans="1:5" ht="13">
      <c r="A10" s="60" t="s">
        <v>389</v>
      </c>
      <c r="B10" s="200">
        <v>0</v>
      </c>
      <c r="C10" s="200"/>
      <c r="D10" s="200">
        <v>0</v>
      </c>
      <c r="E10" s="201"/>
    </row>
    <row r="11" spans="1:5" ht="13">
      <c r="A11" s="60" t="s">
        <v>393</v>
      </c>
      <c r="B11" s="200">
        <v>0</v>
      </c>
      <c r="C11" s="200"/>
      <c r="D11" s="200">
        <v>0</v>
      </c>
      <c r="E11" s="201"/>
    </row>
    <row r="12" spans="1:5" ht="13">
      <c r="A12" s="60" t="s">
        <v>32</v>
      </c>
      <c r="B12" s="200"/>
      <c r="C12" s="200"/>
      <c r="D12" s="200"/>
      <c r="E12" s="201"/>
    </row>
    <row r="13" spans="1:5" ht="13">
      <c r="A13" s="60" t="s">
        <v>33</v>
      </c>
      <c r="B13" s="202"/>
      <c r="C13" s="200"/>
      <c r="D13" s="200"/>
      <c r="E13" s="201"/>
    </row>
    <row r="14" spans="1:5" ht="13">
      <c r="A14" s="60" t="s">
        <v>106</v>
      </c>
      <c r="B14" s="181">
        <f>15885/61372</f>
        <v>0.25883138890699342</v>
      </c>
      <c r="C14" s="181">
        <f>6392/24416</f>
        <v>0.26179554390563564</v>
      </c>
      <c r="D14" s="181">
        <f>6289/24180</f>
        <v>0.26009098428453264</v>
      </c>
      <c r="E14" s="1"/>
    </row>
    <row r="15" spans="1:5" ht="13">
      <c r="A15" s="60" t="s">
        <v>107</v>
      </c>
      <c r="B15" s="160"/>
      <c r="C15" s="160"/>
      <c r="D15" s="160"/>
      <c r="E15" s="1"/>
    </row>
    <row r="16" spans="1:5" s="2" customFormat="1" ht="13">
      <c r="A16" s="224" t="s">
        <v>399</v>
      </c>
      <c r="B16" s="225"/>
      <c r="C16" s="225"/>
      <c r="D16" s="225"/>
      <c r="E16" s="226"/>
    </row>
    <row r="17" spans="1:5" ht="13">
      <c r="A17" s="63" t="s">
        <v>400</v>
      </c>
      <c r="B17" s="182">
        <v>929</v>
      </c>
      <c r="C17" s="203"/>
      <c r="D17" s="203" t="s">
        <v>100</v>
      </c>
      <c r="E17" s="204"/>
    </row>
    <row r="18" spans="1:5" ht="13">
      <c r="A18" s="63" t="s">
        <v>401</v>
      </c>
      <c r="B18" s="182">
        <v>919</v>
      </c>
      <c r="C18" s="467" t="s">
        <v>664</v>
      </c>
      <c r="D18" s="203" t="s">
        <v>100</v>
      </c>
      <c r="E18" s="204"/>
    </row>
    <row r="19" spans="1:5" ht="13">
      <c r="A19" s="63" t="s">
        <v>402</v>
      </c>
      <c r="B19" s="182">
        <v>915</v>
      </c>
      <c r="C19" s="467"/>
      <c r="D19" s="203" t="s">
        <v>100</v>
      </c>
      <c r="E19" s="204"/>
    </row>
    <row r="20" spans="1:5" ht="13">
      <c r="A20" s="63" t="s">
        <v>403</v>
      </c>
      <c r="B20" s="182">
        <v>889</v>
      </c>
      <c r="C20" s="467"/>
      <c r="D20" s="203" t="s">
        <v>100</v>
      </c>
      <c r="E20" s="204"/>
    </row>
    <row r="21" spans="1:5" ht="13">
      <c r="A21" s="63" t="s">
        <v>404</v>
      </c>
      <c r="B21" s="182">
        <v>836</v>
      </c>
      <c r="C21" s="467"/>
      <c r="D21" s="203" t="s">
        <v>100</v>
      </c>
      <c r="E21" s="204"/>
    </row>
    <row r="22" spans="1:5" ht="13">
      <c r="A22" s="63" t="s">
        <v>405</v>
      </c>
      <c r="B22" s="182">
        <v>3139</v>
      </c>
      <c r="C22" s="467"/>
      <c r="D22" s="203" t="s">
        <v>100</v>
      </c>
      <c r="E22" s="204"/>
    </row>
    <row r="23" spans="1:5">
      <c r="B23" s="182"/>
      <c r="C23" s="467"/>
    </row>
    <row r="25" spans="1:5" ht="13">
      <c r="A25" s="63" t="s">
        <v>663</v>
      </c>
      <c r="B25" s="327">
        <v>939</v>
      </c>
    </row>
    <row r="29" spans="1:5">
      <c r="D29" s="200">
        <v>75872</v>
      </c>
    </row>
    <row r="30" spans="1:5">
      <c r="D30" s="200">
        <v>2404</v>
      </c>
    </row>
    <row r="31" spans="1:5">
      <c r="D31" s="200">
        <v>24171</v>
      </c>
    </row>
    <row r="32" spans="1:5">
      <c r="D32" s="200">
        <v>276</v>
      </c>
    </row>
  </sheetData>
  <mergeCells count="1">
    <mergeCell ref="C18:C23"/>
  </mergeCells>
  <pageMargins left="0.75" right="0.75" top="1" bottom="1" header="0.5" footer="0.5"/>
  <pageSetup orientation="portrait" horizontalDpi="4294967292" verticalDpi="4294967292"/>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6"/>
  <sheetViews>
    <sheetView workbookViewId="0">
      <selection activeCell="F6" sqref="F6"/>
    </sheetView>
  </sheetViews>
  <sheetFormatPr baseColWidth="10" defaultColWidth="11.5" defaultRowHeight="12"/>
  <cols>
    <col min="1" max="1" width="6.6640625" bestFit="1" customWidth="1"/>
    <col min="2" max="2" width="17" bestFit="1" customWidth="1"/>
    <col min="3" max="3" width="19.1640625" bestFit="1" customWidth="1"/>
  </cols>
  <sheetData>
    <row r="1" spans="1:6">
      <c r="A1" t="s">
        <v>242</v>
      </c>
      <c r="B1" t="s">
        <v>244</v>
      </c>
      <c r="C1" t="s">
        <v>444</v>
      </c>
      <c r="D1" t="s">
        <v>452</v>
      </c>
      <c r="E1" t="s">
        <v>454</v>
      </c>
      <c r="F1" t="s">
        <v>478</v>
      </c>
    </row>
    <row r="2" spans="1:6">
      <c r="A2" t="s">
        <v>59</v>
      </c>
      <c r="B2" t="s">
        <v>104</v>
      </c>
      <c r="C2" t="s">
        <v>445</v>
      </c>
      <c r="D2" t="s">
        <v>453</v>
      </c>
      <c r="E2">
        <v>1</v>
      </c>
      <c r="F2" t="s">
        <v>453</v>
      </c>
    </row>
    <row r="3" spans="1:6">
      <c r="A3" t="s">
        <v>53</v>
      </c>
      <c r="B3" t="s">
        <v>238</v>
      </c>
      <c r="C3" t="s">
        <v>448</v>
      </c>
      <c r="D3" t="s">
        <v>454</v>
      </c>
      <c r="E3">
        <v>2</v>
      </c>
      <c r="F3" t="s">
        <v>483</v>
      </c>
    </row>
    <row r="4" spans="1:6">
      <c r="C4" t="s">
        <v>446</v>
      </c>
      <c r="D4" t="s">
        <v>455</v>
      </c>
      <c r="F4" t="s">
        <v>484</v>
      </c>
    </row>
    <row r="5" spans="1:6">
      <c r="C5" t="s">
        <v>447</v>
      </c>
      <c r="F5" t="s">
        <v>485</v>
      </c>
    </row>
    <row r="6" spans="1:6">
      <c r="F6" t="s">
        <v>482</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61"/>
  <sheetViews>
    <sheetView topLeftCell="A14" zoomScaleNormal="100" workbookViewId="0">
      <selection activeCell="D52" sqref="D52"/>
    </sheetView>
  </sheetViews>
  <sheetFormatPr baseColWidth="10" defaultColWidth="10.83203125" defaultRowHeight="12"/>
  <cols>
    <col min="1" max="1" width="49.6640625" style="4" customWidth="1"/>
    <col min="2" max="2" width="26.5" style="4" customWidth="1"/>
    <col min="3" max="3" width="17" style="4" customWidth="1"/>
    <col min="4" max="4" width="16.6640625" style="4" customWidth="1"/>
    <col min="5" max="7" width="10.83203125" style="4"/>
    <col min="8" max="8" width="11" style="4" bestFit="1" customWidth="1"/>
    <col min="9" max="9" width="13.5" style="4" customWidth="1"/>
    <col min="10" max="10" width="15" style="4" bestFit="1" customWidth="1"/>
    <col min="11" max="11" width="17.5" style="4" bestFit="1" customWidth="1"/>
    <col min="12" max="16384" width="10.83203125" style="4"/>
  </cols>
  <sheetData>
    <row r="1" spans="1:10" ht="13">
      <c r="A1" s="207" t="s">
        <v>387</v>
      </c>
      <c r="B1" s="227">
        <v>41882</v>
      </c>
      <c r="C1" s="168" t="s">
        <v>388</v>
      </c>
      <c r="D1" s="169"/>
      <c r="E1" s="169"/>
      <c r="F1" s="169"/>
      <c r="G1" s="169"/>
      <c r="H1" s="169"/>
      <c r="I1" s="169"/>
      <c r="J1" s="170"/>
    </row>
    <row r="2" spans="1:10" s="56" customFormat="1" ht="14" thickBot="1">
      <c r="A2" s="53" t="s">
        <v>34</v>
      </c>
      <c r="B2" s="228" t="s">
        <v>762</v>
      </c>
      <c r="C2" s="208" t="s">
        <v>102</v>
      </c>
      <c r="D2" s="82"/>
      <c r="E2" s="82"/>
      <c r="F2" s="82"/>
      <c r="G2" s="82"/>
      <c r="H2" s="82"/>
      <c r="I2" s="82"/>
      <c r="J2" s="209"/>
    </row>
    <row r="3" spans="1:10" s="56" customFormat="1" ht="14" thickBot="1">
      <c r="A3" s="398" t="s">
        <v>433</v>
      </c>
      <c r="B3" s="399"/>
      <c r="C3" s="400"/>
      <c r="D3" s="400"/>
      <c r="E3" s="400"/>
      <c r="F3" s="400"/>
      <c r="G3" s="400"/>
      <c r="H3" s="400"/>
      <c r="I3" s="400"/>
      <c r="J3" s="401"/>
    </row>
    <row r="4" spans="1:10" s="56" customFormat="1" ht="13">
      <c r="A4" s="57"/>
      <c r="B4" s="57" t="s">
        <v>180</v>
      </c>
      <c r="C4" s="171" t="s">
        <v>181</v>
      </c>
      <c r="D4" s="82"/>
      <c r="E4" s="82"/>
      <c r="F4" s="82"/>
      <c r="G4" s="82"/>
      <c r="H4" s="82"/>
      <c r="I4" s="82"/>
    </row>
    <row r="5" spans="1:10" s="56" customFormat="1" ht="13">
      <c r="A5" s="155" t="s">
        <v>448</v>
      </c>
      <c r="B5" s="231" t="s">
        <v>349</v>
      </c>
      <c r="C5" s="171"/>
      <c r="D5" s="82"/>
      <c r="E5" s="82"/>
      <c r="F5" s="82"/>
      <c r="G5" s="82"/>
      <c r="H5" s="82"/>
      <c r="I5" s="82"/>
    </row>
    <row r="6" spans="1:10" s="56" customFormat="1" ht="13">
      <c r="A6" s="155" t="s">
        <v>438</v>
      </c>
      <c r="B6" s="156" t="s">
        <v>584</v>
      </c>
      <c r="C6" s="82"/>
      <c r="D6" s="82"/>
      <c r="E6" s="82"/>
      <c r="F6" s="82"/>
      <c r="G6" s="82"/>
      <c r="H6" s="82"/>
      <c r="I6" s="82"/>
    </row>
    <row r="7" spans="1:10" s="56" customFormat="1" ht="13">
      <c r="A7" s="155" t="s">
        <v>439</v>
      </c>
      <c r="B7" s="156" t="s">
        <v>584</v>
      </c>
      <c r="C7" s="247" t="s">
        <v>397</v>
      </c>
      <c r="D7" s="247" t="s">
        <v>624</v>
      </c>
      <c r="E7" s="82"/>
      <c r="F7" s="82"/>
      <c r="G7" s="82"/>
      <c r="H7" s="82"/>
      <c r="I7" s="82"/>
    </row>
    <row r="8" spans="1:10" s="56" customFormat="1" ht="13">
      <c r="A8" s="60" t="s">
        <v>11</v>
      </c>
      <c r="B8" s="61">
        <v>208125</v>
      </c>
      <c r="C8" s="85">
        <v>177866</v>
      </c>
      <c r="D8" s="246">
        <v>0.5</v>
      </c>
    </row>
    <row r="9" spans="1:10" s="56" customFormat="1" ht="13">
      <c r="A9" s="60" t="s">
        <v>29</v>
      </c>
      <c r="B9" s="61">
        <v>7385</v>
      </c>
      <c r="C9" s="85">
        <v>4106</v>
      </c>
      <c r="D9" s="246">
        <v>0.5</v>
      </c>
    </row>
    <row r="10" spans="1:10" s="56" customFormat="1" ht="13">
      <c r="A10" s="60" t="s">
        <v>441</v>
      </c>
      <c r="B10" s="85">
        <v>1239</v>
      </c>
      <c r="C10" s="85">
        <v>848</v>
      </c>
      <c r="D10" s="62"/>
    </row>
    <row r="11" spans="1:10" s="56" customFormat="1" ht="13">
      <c r="A11" s="60" t="s">
        <v>30</v>
      </c>
      <c r="B11" s="61">
        <v>34995</v>
      </c>
      <c r="C11" s="85">
        <v>27709</v>
      </c>
      <c r="D11" s="62"/>
    </row>
    <row r="12" spans="1:10" s="56" customFormat="1" ht="13">
      <c r="A12" s="60" t="s">
        <v>31</v>
      </c>
      <c r="B12" s="61">
        <v>27050</v>
      </c>
      <c r="C12" s="85">
        <v>24473</v>
      </c>
      <c r="D12" s="62"/>
    </row>
    <row r="13" spans="1:10" s="56" customFormat="1" ht="13">
      <c r="A13" s="159" t="s">
        <v>428</v>
      </c>
      <c r="B13" s="197" t="s">
        <v>59</v>
      </c>
      <c r="C13" s="198" t="s">
        <v>429</v>
      </c>
      <c r="D13" s="62"/>
    </row>
    <row r="14" spans="1:10" s="56" customFormat="1" ht="13">
      <c r="A14" s="60" t="s">
        <v>246</v>
      </c>
      <c r="B14" s="85" t="s">
        <v>59</v>
      </c>
      <c r="C14" s="62" t="s">
        <v>249</v>
      </c>
      <c r="D14" s="62"/>
    </row>
    <row r="15" spans="1:10" s="56" customFormat="1" ht="13">
      <c r="A15" s="60" t="s">
        <v>607</v>
      </c>
      <c r="B15" s="85">
        <v>27050</v>
      </c>
      <c r="C15" s="85">
        <v>30986</v>
      </c>
      <c r="D15" s="62"/>
    </row>
    <row r="16" spans="1:10" s="56" customFormat="1" ht="13">
      <c r="A16" s="60" t="s">
        <v>608</v>
      </c>
      <c r="B16" s="172">
        <v>0</v>
      </c>
      <c r="C16" s="85">
        <v>0</v>
      </c>
      <c r="D16" s="62"/>
    </row>
    <row r="17" spans="1:11" s="56" customFormat="1" ht="13">
      <c r="A17" s="60" t="s">
        <v>393</v>
      </c>
      <c r="B17" s="172">
        <v>0</v>
      </c>
      <c r="C17" s="85">
        <v>0</v>
      </c>
      <c r="D17" s="62"/>
    </row>
    <row r="18" spans="1:11" s="56" customFormat="1" ht="14" thickBot="1">
      <c r="A18" s="60" t="s">
        <v>32</v>
      </c>
      <c r="B18" s="157">
        <v>497</v>
      </c>
      <c r="C18" s="62"/>
    </row>
    <row r="19" spans="1:11" s="56" customFormat="1" ht="13">
      <c r="A19" s="60" t="s">
        <v>33</v>
      </c>
      <c r="B19" s="61">
        <v>1970.19</v>
      </c>
      <c r="C19" s="62"/>
      <c r="E19" s="86" t="s">
        <v>245</v>
      </c>
      <c r="F19" s="54"/>
      <c r="G19" s="54"/>
      <c r="H19" s="54"/>
      <c r="I19" s="54"/>
      <c r="J19" s="54"/>
      <c r="K19" s="55"/>
    </row>
    <row r="20" spans="1:11" s="56" customFormat="1" ht="13">
      <c r="A20" s="63" t="s">
        <v>106</v>
      </c>
      <c r="B20" s="64">
        <f>769/3806</f>
        <v>0.20204939569101418</v>
      </c>
      <c r="C20" s="62"/>
      <c r="E20" s="206" t="s">
        <v>432</v>
      </c>
      <c r="F20" s="82"/>
      <c r="G20" s="82"/>
      <c r="H20" s="82"/>
      <c r="I20" s="82"/>
      <c r="J20" s="82"/>
      <c r="K20" s="88"/>
    </row>
    <row r="21" spans="1:11" s="56" customFormat="1" ht="13">
      <c r="A21" s="63" t="s">
        <v>107</v>
      </c>
      <c r="B21" s="64">
        <v>0.24</v>
      </c>
      <c r="C21" s="62"/>
      <c r="E21" s="154"/>
      <c r="F21" s="82"/>
      <c r="G21" s="82"/>
      <c r="H21" s="82"/>
      <c r="I21" s="159" t="s">
        <v>241</v>
      </c>
      <c r="J21" s="159" t="s">
        <v>243</v>
      </c>
      <c r="K21" s="88" t="s">
        <v>440</v>
      </c>
    </row>
    <row r="22" spans="1:11" s="56" customFormat="1" ht="13">
      <c r="A22" s="65" t="s">
        <v>35</v>
      </c>
      <c r="B22" s="66"/>
      <c r="C22" s="62"/>
      <c r="E22" s="87" t="s">
        <v>176</v>
      </c>
      <c r="F22" s="82"/>
      <c r="G22" s="82"/>
      <c r="H22" s="82"/>
      <c r="I22" s="260">
        <f>IF(C8&gt;0,(B8/C8)^(1/D8)-1, "NA")</f>
        <v>0.36918655205041295</v>
      </c>
      <c r="J22" s="260">
        <f>VLOOKUP(B6,'Industry Averages(US)'!A2:S95,3)</f>
        <v>2.0755624999999993E-2</v>
      </c>
      <c r="K22" s="261">
        <f>VLOOKUP(B7,'Global industry averages'!A2:N95,3)</f>
        <v>3.6947849460000001E-2</v>
      </c>
    </row>
    <row r="23" spans="1:11" s="56" customFormat="1" ht="13">
      <c r="A23" s="60" t="s">
        <v>49</v>
      </c>
      <c r="B23" s="395">
        <v>0.15</v>
      </c>
      <c r="C23" s="62" t="s">
        <v>611</v>
      </c>
      <c r="E23" s="87" t="s">
        <v>177</v>
      </c>
      <c r="F23" s="82"/>
      <c r="G23" s="82"/>
      <c r="H23" s="82"/>
      <c r="I23" s="260">
        <f ca="1">'Valuation output'!B4</f>
        <v>7.7136240926802643E-2</v>
      </c>
      <c r="J23" s="261">
        <f>VLOOKUP(B6,'Industry Averages(US)'!A2:S95,4)</f>
        <v>4.2077384240752143E-2</v>
      </c>
      <c r="K23" s="261">
        <f>VLOOKUP(B7,'Global industry averages'!A2:N95,4)</f>
        <v>4.1181894326900614E-2</v>
      </c>
    </row>
    <row r="24" spans="1:11" s="56" customFormat="1" ht="13">
      <c r="A24" s="60" t="s">
        <v>51</v>
      </c>
      <c r="B24" s="395">
        <v>0.125</v>
      </c>
      <c r="C24" s="62" t="s">
        <v>609</v>
      </c>
      <c r="E24" s="87" t="s">
        <v>178</v>
      </c>
      <c r="F24" s="82"/>
      <c r="G24" s="82"/>
      <c r="H24" s="82"/>
      <c r="I24" s="262">
        <f>B8/(B11+B12-B15)</f>
        <v>5.9472781825975138</v>
      </c>
      <c r="J24" s="262">
        <f>VLOOKUP(B6,'Industry Averages(US)'!A2:S95,14)</f>
        <v>3.6718992160620263</v>
      </c>
      <c r="K24" s="262">
        <f>VLOOKUP(B7,'Global industry averages'!A2:N95,14)</f>
        <v>2.6230450958023153</v>
      </c>
    </row>
    <row r="25" spans="1:11" s="56" customFormat="1" ht="13">
      <c r="A25" s="60" t="s">
        <v>684</v>
      </c>
      <c r="B25" s="68">
        <v>5</v>
      </c>
      <c r="C25" s="62" t="s">
        <v>685</v>
      </c>
      <c r="E25" s="87" t="s">
        <v>179</v>
      </c>
      <c r="F25" s="82"/>
      <c r="G25" s="82"/>
      <c r="H25" s="82"/>
      <c r="I25" s="261">
        <f ca="1">'Valuation output'!B7/'Valuation output'!B39</f>
        <v>0.1524258903436794</v>
      </c>
      <c r="J25" s="261">
        <f>VLOOKUP(B6,'Industry Averages(US)'!A2:S95,5)</f>
        <v>0.11902996347107103</v>
      </c>
      <c r="K25" s="261">
        <f>VLOOKUP(B7,'Global industry averages'!A2:N95,5)</f>
        <v>8.3351929103855929E-2</v>
      </c>
    </row>
    <row r="26" spans="1:11" s="56" customFormat="1" ht="13">
      <c r="A26" s="60" t="s">
        <v>37</v>
      </c>
      <c r="B26" s="68">
        <f>I24</f>
        <v>5.9472781825975138</v>
      </c>
      <c r="C26" s="62" t="s">
        <v>610</v>
      </c>
      <c r="E26" s="87" t="s">
        <v>386</v>
      </c>
      <c r="F26" s="82"/>
      <c r="G26" s="82"/>
      <c r="H26" s="82"/>
      <c r="I26" s="167"/>
      <c r="J26" s="263">
        <f>VLOOKUP(B6,'Industry Averages(US)'!A2:S95,10)</f>
        <v>0.49939769837804354</v>
      </c>
      <c r="K26" s="261">
        <f>VLOOKUP(B6,'Global industry averages'!A2:Z95,10)</f>
        <v>0.306129225</v>
      </c>
    </row>
    <row r="27" spans="1:11" s="56" customFormat="1" ht="14" thickBot="1">
      <c r="A27" s="65" t="s">
        <v>36</v>
      </c>
      <c r="B27" s="69"/>
      <c r="C27" s="62"/>
      <c r="E27" s="58" t="s">
        <v>385</v>
      </c>
      <c r="F27" s="59"/>
      <c r="G27" s="59"/>
      <c r="H27" s="59"/>
      <c r="I27" s="59"/>
      <c r="J27" s="264">
        <f>VLOOKUP(B6,'Industry Averages(US)'!A2:S95,13)</f>
        <v>6.6108321432434433E-2</v>
      </c>
      <c r="K27" s="261">
        <f>VLOOKUP(B6,'Global industry averages'!A2:Z95,13)</f>
        <v>7.7620193868047582E-2</v>
      </c>
    </row>
    <row r="28" spans="1:11" s="56" customFormat="1" ht="14" thickBot="1">
      <c r="A28" s="60" t="s">
        <v>27</v>
      </c>
      <c r="B28" s="67">
        <v>0.03</v>
      </c>
      <c r="C28" s="62"/>
    </row>
    <row r="29" spans="1:11" s="56" customFormat="1" ht="13">
      <c r="A29" s="60" t="s">
        <v>39</v>
      </c>
      <c r="B29" s="395">
        <v>7.9699999999999993E-2</v>
      </c>
      <c r="C29" s="62"/>
      <c r="E29" s="402" t="s">
        <v>612</v>
      </c>
      <c r="F29" s="403"/>
      <c r="G29" s="403"/>
      <c r="H29" s="403"/>
      <c r="I29" s="403"/>
      <c r="J29" s="404"/>
    </row>
    <row r="30" spans="1:11" s="56" customFormat="1" ht="13">
      <c r="A30" s="65" t="s">
        <v>91</v>
      </c>
      <c r="B30" s="70"/>
      <c r="C30" s="70"/>
      <c r="D30" s="62"/>
      <c r="E30" s="248" t="s">
        <v>613</v>
      </c>
      <c r="F30" s="63"/>
      <c r="G30" s="63"/>
      <c r="H30" s="63"/>
      <c r="I30" s="63"/>
      <c r="J30" s="259">
        <f>'Valuation output'!M3</f>
        <v>626133.95895487722</v>
      </c>
    </row>
    <row r="31" spans="1:11" s="56" customFormat="1" ht="13">
      <c r="A31" s="63" t="s">
        <v>248</v>
      </c>
      <c r="B31" s="158" t="s">
        <v>53</v>
      </c>
      <c r="C31"/>
      <c r="D31" s="62"/>
      <c r="E31" s="248" t="s">
        <v>615</v>
      </c>
      <c r="F31" s="63"/>
      <c r="G31" s="63"/>
      <c r="H31" s="63"/>
      <c r="I31" s="63"/>
      <c r="J31" s="259">
        <f>'Valuation output'!M5</f>
        <v>78266.744869359653</v>
      </c>
    </row>
    <row r="32" spans="1:11" s="56" customFormat="1" ht="13">
      <c r="A32" s="63" t="s">
        <v>92</v>
      </c>
      <c r="B32" s="68">
        <v>21.65</v>
      </c>
      <c r="C32" s="258"/>
      <c r="D32" s="62"/>
      <c r="E32" s="248" t="s">
        <v>614</v>
      </c>
      <c r="F32" s="63"/>
      <c r="G32" s="63"/>
      <c r="H32" s="63"/>
      <c r="I32" s="63"/>
      <c r="J32" s="260">
        <f ca="1">'Valuation output'!L40</f>
        <v>0.38178927338774821</v>
      </c>
    </row>
    <row r="33" spans="1:14" s="56" customFormat="1" ht="14" thickBot="1">
      <c r="A33" s="63" t="s">
        <v>93</v>
      </c>
      <c r="B33" s="71">
        <v>61.13</v>
      </c>
      <c r="C33" s="257"/>
      <c r="D33" s="62"/>
      <c r="E33" s="249" t="s">
        <v>616</v>
      </c>
      <c r="F33" s="59"/>
      <c r="G33" s="59"/>
      <c r="H33" s="59"/>
      <c r="I33" s="59"/>
      <c r="J33" s="250"/>
    </row>
    <row r="34" spans="1:14" s="56" customFormat="1" ht="13">
      <c r="A34" s="63" t="s">
        <v>94</v>
      </c>
      <c r="B34" s="68">
        <v>5.97</v>
      </c>
      <c r="C34" s="258"/>
      <c r="D34" s="62"/>
    </row>
    <row r="35" spans="1:14" s="56" customFormat="1" ht="13">
      <c r="A35" s="63" t="s">
        <v>95</v>
      </c>
      <c r="B35" s="67">
        <v>0.3</v>
      </c>
      <c r="C35" s="62"/>
    </row>
    <row r="36" spans="1:14" s="56" customFormat="1" ht="13">
      <c r="A36" s="63"/>
      <c r="B36" s="72"/>
      <c r="C36" s="70"/>
      <c r="D36" s="62"/>
    </row>
    <row r="37" spans="1:14" s="74" customFormat="1" ht="13">
      <c r="A37" s="397" t="s">
        <v>108</v>
      </c>
      <c r="B37" s="397"/>
      <c r="C37" s="83"/>
      <c r="D37" s="62"/>
      <c r="H37" s="56"/>
      <c r="I37" s="56"/>
      <c r="J37" s="56"/>
      <c r="K37" s="56"/>
      <c r="L37" s="56"/>
      <c r="M37" s="56"/>
      <c r="N37" s="56"/>
    </row>
    <row r="38" spans="1:14" s="56" customFormat="1" ht="13">
      <c r="A38" s="73" t="s">
        <v>109</v>
      </c>
      <c r="B38" s="73"/>
      <c r="C38" s="84"/>
      <c r="D38" s="62"/>
    </row>
    <row r="39" spans="1:14" s="56" customFormat="1" ht="13">
      <c r="A39" s="75" t="s">
        <v>40</v>
      </c>
      <c r="B39" s="76" t="s">
        <v>59</v>
      </c>
      <c r="C39" s="62" t="s">
        <v>56</v>
      </c>
      <c r="N39" s="74"/>
    </row>
    <row r="40" spans="1:14" s="74" customFormat="1" ht="13">
      <c r="A40" s="75" t="s">
        <v>42</v>
      </c>
      <c r="B40" s="158">
        <v>7.4999999999999997E-2</v>
      </c>
      <c r="C40" s="62" t="s">
        <v>145</v>
      </c>
      <c r="D40" s="56"/>
      <c r="N40" s="56"/>
    </row>
    <row r="41" spans="1:14" s="56" customFormat="1" ht="13">
      <c r="A41" s="74" t="s">
        <v>110</v>
      </c>
      <c r="B41" s="74"/>
      <c r="C41" s="62"/>
      <c r="D41" s="74"/>
    </row>
    <row r="42" spans="1:14" s="56" customFormat="1" ht="13">
      <c r="A42" s="56" t="s">
        <v>40</v>
      </c>
      <c r="B42" s="76" t="s">
        <v>59</v>
      </c>
      <c r="C42" s="62" t="s">
        <v>55</v>
      </c>
      <c r="N42" s="74"/>
    </row>
    <row r="43" spans="1:14" s="56" customFormat="1" ht="13">
      <c r="A43" s="56" t="s">
        <v>41</v>
      </c>
      <c r="B43" s="77">
        <v>0.1</v>
      </c>
      <c r="C43" s="62" t="s">
        <v>146</v>
      </c>
      <c r="H43" s="74"/>
      <c r="I43" s="74"/>
      <c r="J43" s="74"/>
      <c r="K43" s="74"/>
      <c r="L43" s="74"/>
      <c r="M43" s="74"/>
    </row>
    <row r="44" spans="1:14" s="56" customFormat="1" ht="13">
      <c r="A44" s="74" t="s">
        <v>141</v>
      </c>
      <c r="C44" s="62"/>
    </row>
    <row r="45" spans="1:14" s="56" customFormat="1" ht="13">
      <c r="A45" s="56" t="s">
        <v>40</v>
      </c>
      <c r="B45" s="76" t="s">
        <v>53</v>
      </c>
      <c r="C45" s="62" t="s">
        <v>116</v>
      </c>
    </row>
    <row r="46" spans="1:14" s="56" customFormat="1" ht="13">
      <c r="A46" s="56" t="s">
        <v>111</v>
      </c>
      <c r="B46" s="77">
        <v>0.2</v>
      </c>
      <c r="C46" s="62" t="s">
        <v>57</v>
      </c>
    </row>
    <row r="47" spans="1:14" s="56" customFormat="1" ht="13">
      <c r="A47" s="56" t="s">
        <v>114</v>
      </c>
      <c r="B47" s="77" t="s">
        <v>238</v>
      </c>
      <c r="C47" s="62" t="s">
        <v>105</v>
      </c>
    </row>
    <row r="48" spans="1:14" s="56" customFormat="1" ht="13">
      <c r="A48" s="56" t="s">
        <v>239</v>
      </c>
      <c r="B48" s="77">
        <v>0.5</v>
      </c>
      <c r="C48" s="62" t="s">
        <v>115</v>
      </c>
    </row>
    <row r="49" spans="1:14" s="56" customFormat="1" ht="13">
      <c r="A49" s="74" t="s">
        <v>143</v>
      </c>
      <c r="B49" s="78"/>
      <c r="C49" s="62"/>
    </row>
    <row r="50" spans="1:14" s="56" customFormat="1" ht="13">
      <c r="A50" s="56" t="s">
        <v>40</v>
      </c>
      <c r="B50" s="77" t="s">
        <v>53</v>
      </c>
      <c r="C50" s="62"/>
    </row>
    <row r="51" spans="1:14" s="56" customFormat="1" ht="13">
      <c r="A51" s="74" t="s">
        <v>140</v>
      </c>
      <c r="C51" s="62"/>
    </row>
    <row r="52" spans="1:14" s="56" customFormat="1" ht="13">
      <c r="A52" s="56" t="s">
        <v>40</v>
      </c>
      <c r="B52" s="76" t="s">
        <v>53</v>
      </c>
      <c r="C52" s="62" t="s">
        <v>58</v>
      </c>
    </row>
    <row r="53" spans="1:14" s="56" customFormat="1" ht="13">
      <c r="A53" s="56" t="s">
        <v>50</v>
      </c>
      <c r="B53" s="71">
        <v>250</v>
      </c>
      <c r="C53" s="62" t="s">
        <v>147</v>
      </c>
    </row>
    <row r="54" spans="1:14" s="56" customFormat="1" ht="13">
      <c r="A54" s="56" t="s">
        <v>620</v>
      </c>
      <c r="B54" s="257"/>
      <c r="C54" s="62"/>
    </row>
    <row r="55" spans="1:14" s="56" customFormat="1" ht="13">
      <c r="A55" s="56" t="s">
        <v>40</v>
      </c>
      <c r="B55" s="71" t="s">
        <v>53</v>
      </c>
      <c r="C55" s="62"/>
    </row>
    <row r="56" spans="1:14" s="251" customFormat="1" ht="13">
      <c r="A56" s="56" t="s">
        <v>621</v>
      </c>
      <c r="B56" s="256">
        <v>0.01</v>
      </c>
      <c r="C56" s="62" t="s">
        <v>622</v>
      </c>
      <c r="D56" s="56"/>
      <c r="H56" s="74"/>
      <c r="I56" s="74"/>
      <c r="J56" s="74"/>
      <c r="K56" s="74"/>
      <c r="L56" s="74"/>
      <c r="M56" s="74"/>
      <c r="N56" s="74"/>
    </row>
    <row r="57" spans="1:14" ht="13">
      <c r="A57" s="251" t="s">
        <v>625</v>
      </c>
      <c r="B57" s="251"/>
      <c r="C57" s="251"/>
      <c r="D57" s="251"/>
      <c r="H57" s="56"/>
      <c r="I57" s="56"/>
      <c r="J57" s="56"/>
      <c r="K57" s="56"/>
      <c r="L57" s="56"/>
      <c r="M57" s="56"/>
      <c r="N57" s="56"/>
    </row>
    <row r="58" spans="1:14" ht="13">
      <c r="A58" s="4" t="s">
        <v>617</v>
      </c>
      <c r="B58" s="252" t="s">
        <v>53</v>
      </c>
      <c r="H58" s="56"/>
      <c r="I58" s="56"/>
      <c r="J58" s="56"/>
      <c r="K58" s="56"/>
      <c r="L58" s="56"/>
      <c r="M58" s="56"/>
    </row>
    <row r="59" spans="1:14">
      <c r="A59" s="4" t="s">
        <v>628</v>
      </c>
      <c r="B59" s="182">
        <v>140000</v>
      </c>
      <c r="C59" s="266" t="s">
        <v>626</v>
      </c>
    </row>
    <row r="60" spans="1:14">
      <c r="A60" s="265" t="s">
        <v>618</v>
      </c>
      <c r="B60" s="253">
        <v>0.15</v>
      </c>
      <c r="C60" s="266" t="s">
        <v>627</v>
      </c>
    </row>
    <row r="61" spans="1:14">
      <c r="A61" s="144"/>
    </row>
  </sheetData>
  <mergeCells count="3">
    <mergeCell ref="A37:B37"/>
    <mergeCell ref="A3:J3"/>
    <mergeCell ref="E29:J29"/>
  </mergeCells>
  <phoneticPr fontId="6" type="noConversion"/>
  <dataValidations count="1">
    <dataValidation type="decimal" allowBlank="1" showInputMessage="1" showErrorMessage="1" promptTitle="No negative tax rates" prompt="While it is possible for an effective tax rate to be less than 0% or greater than 100% in any given year, it is dangerous to build off these tax rates for making future projections. If less than zero, enter zero. If greater than the 100%, go with the marg" sqref="B20" xr:uid="{00000000-0002-0000-0100-000000000000}">
      <formula1>0</formula1>
      <formula2>1</formula2>
    </dataValidation>
  </dataValidations>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1000000}">
          <x14:formula1>
            <xm:f>'Country equity risk premiums'!$A$2:$A$187</xm:f>
          </x14:formula1>
          <xm:sqref>B5</xm:sqref>
        </x14:dataValidation>
        <x14:dataValidation type="list" allowBlank="1" showInputMessage="1" showErrorMessage="1" xr:uid="{00000000-0002-0000-0100-000002000000}">
          <x14:formula1>
            <xm:f>'Industry Averages(US)'!$A$2:$A$95</xm:f>
          </x14:formula1>
          <xm:sqref>B6</xm:sqref>
        </x14:dataValidation>
        <x14:dataValidation type="list" allowBlank="1" showInputMessage="1" showErrorMessage="1" xr:uid="{00000000-0002-0000-0100-000003000000}">
          <x14:formula1>
            <xm:f>'Global industry averages'!$A$2:$A$95</xm:f>
          </x14:formula1>
          <xm:sqref>B7</xm:sqref>
        </x14:dataValidation>
        <x14:dataValidation type="list" allowBlank="1" showInputMessage="1" showErrorMessage="1" xr:uid="{00000000-0002-0000-0100-000004000000}">
          <x14:formula1>
            <xm:f>'Answer keys'!$A$2:$A$3</xm:f>
          </x14:formula1>
          <xm:sqref>B13:B14 B31 B39 B42 B45 B50 B52 B55 B58</xm:sqref>
        </x14:dataValidation>
        <x14:dataValidation type="list" allowBlank="1" showInputMessage="1" showErrorMessage="1" xr:uid="{00000000-0002-0000-0100-000005000000}">
          <x14:formula1>
            <xm:f>'Answer keys'!$B$2:$B$3</xm:f>
          </x14:formula1>
          <xm:sqref>B47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1"/>
  <sheetViews>
    <sheetView topLeftCell="A26" zoomScale="125" zoomScaleNormal="125" workbookViewId="0">
      <selection activeCell="B33" sqref="B33"/>
    </sheetView>
  </sheetViews>
  <sheetFormatPr baseColWidth="10" defaultColWidth="11.5" defaultRowHeight="16"/>
  <cols>
    <col min="1" max="1" width="23" style="47" bestFit="1" customWidth="1"/>
    <col min="2" max="2" width="14.33203125" style="47" customWidth="1"/>
    <col min="3" max="13" width="14.33203125" style="52" customWidth="1"/>
    <col min="14" max="14" width="12.6640625" bestFit="1" customWidth="1"/>
  </cols>
  <sheetData>
    <row r="1" spans="1:14">
      <c r="A1" s="42"/>
      <c r="B1" s="43" t="s">
        <v>14</v>
      </c>
      <c r="C1" s="43">
        <v>1</v>
      </c>
      <c r="D1" s="43">
        <v>2</v>
      </c>
      <c r="E1" s="43">
        <v>3</v>
      </c>
      <c r="F1" s="43">
        <v>4</v>
      </c>
      <c r="G1" s="43">
        <v>5</v>
      </c>
      <c r="H1" s="43">
        <v>6</v>
      </c>
      <c r="I1" s="43">
        <v>7</v>
      </c>
      <c r="J1" s="43">
        <v>8</v>
      </c>
      <c r="K1" s="43">
        <v>9</v>
      </c>
      <c r="L1" s="43">
        <v>10</v>
      </c>
      <c r="M1" s="50" t="s">
        <v>45</v>
      </c>
    </row>
    <row r="2" spans="1:14">
      <c r="A2" s="45" t="s">
        <v>20</v>
      </c>
      <c r="B2" s="89"/>
      <c r="C2" s="90">
        <f>'Input sheet'!B23</f>
        <v>0.15</v>
      </c>
      <c r="D2" s="90">
        <f>C2</f>
        <v>0.15</v>
      </c>
      <c r="E2" s="90">
        <f>D2</f>
        <v>0.15</v>
      </c>
      <c r="F2" s="90">
        <f>E2</f>
        <v>0.15</v>
      </c>
      <c r="G2" s="90">
        <f>F2</f>
        <v>0.15</v>
      </c>
      <c r="H2" s="90">
        <f>G2-((G2-$M$2)/5)</f>
        <v>0.126</v>
      </c>
      <c r="I2" s="90">
        <f>G2-((G2-$M$2)/5)*2</f>
        <v>0.10199999999999999</v>
      </c>
      <c r="J2" s="90">
        <f>G2-((G2-$M$2)/5)*3</f>
        <v>7.7999999999999986E-2</v>
      </c>
      <c r="K2" s="90">
        <f>G2-((G2-$M$2)/5)*4</f>
        <v>5.3999999999999992E-2</v>
      </c>
      <c r="L2" s="90">
        <f>G2-((G2-$M$2)/5)*5</f>
        <v>0.03</v>
      </c>
      <c r="M2" s="91">
        <f>IF('Input sheet'!B55="Yes",'Input sheet'!B56,'Input sheet'!B28)</f>
        <v>0.03</v>
      </c>
    </row>
    <row r="3" spans="1:14" ht="15" customHeight="1">
      <c r="A3" s="45" t="s">
        <v>11</v>
      </c>
      <c r="B3" s="92">
        <f>'Input sheet'!B8</f>
        <v>208125</v>
      </c>
      <c r="C3" s="93">
        <f>B3*(1+C2)</f>
        <v>239343.74999999997</v>
      </c>
      <c r="D3" s="93">
        <f t="shared" ref="D3:L3" si="0">C3*(1+D2)</f>
        <v>275245.31249999994</v>
      </c>
      <c r="E3" s="93">
        <f t="shared" si="0"/>
        <v>316532.10937499988</v>
      </c>
      <c r="F3" s="93">
        <f t="shared" si="0"/>
        <v>364011.92578124983</v>
      </c>
      <c r="G3" s="93">
        <f t="shared" si="0"/>
        <v>418613.71464843728</v>
      </c>
      <c r="H3" s="93">
        <f t="shared" si="0"/>
        <v>471359.04269414034</v>
      </c>
      <c r="I3" s="93">
        <f t="shared" si="0"/>
        <v>519437.66504894273</v>
      </c>
      <c r="J3" s="93">
        <f t="shared" si="0"/>
        <v>559953.80292276025</v>
      </c>
      <c r="K3" s="93">
        <f t="shared" si="0"/>
        <v>590191.30828058929</v>
      </c>
      <c r="L3" s="93">
        <f t="shared" si="0"/>
        <v>607897.04752900696</v>
      </c>
      <c r="M3" s="108">
        <f>L3*(1+M2)</f>
        <v>626133.95895487722</v>
      </c>
    </row>
    <row r="4" spans="1:14" ht="15" customHeight="1">
      <c r="A4" s="45" t="s">
        <v>26</v>
      </c>
      <c r="B4" s="94">
        <f ca="1">B5/B3</f>
        <v>7.7136240926802643E-2</v>
      </c>
      <c r="C4" s="90">
        <f ca="1">IF(C1&gt;'Input sheet'!$B$25,'Input sheet'!$B$24,'Input sheet'!$B$24-(('Input sheet'!$B$24-$B$4)/'Input sheet'!$B$25)*('Input sheet'!$B$25-C1))</f>
        <v>8.6708992741442115E-2</v>
      </c>
      <c r="D4" s="90">
        <f ca="1">IF(D1&gt;'Input sheet'!$B$25,'Input sheet'!$B$24,'Input sheet'!$B$24-(('Input sheet'!$B$24-$B$4)/'Input sheet'!$B$25)*('Input sheet'!$B$25-D1))</f>
        <v>9.6281744556081586E-2</v>
      </c>
      <c r="E4" s="90">
        <f ca="1">IF(E1&gt;'Input sheet'!$B$25,'Input sheet'!$B$24,'Input sheet'!$B$24-(('Input sheet'!$B$24-$B$4)/'Input sheet'!$B$25)*('Input sheet'!$B$25-E1))</f>
        <v>0.10585449637072106</v>
      </c>
      <c r="F4" s="90">
        <f ca="1">IF(F1&gt;'Input sheet'!$B$25,'Input sheet'!$B$24,'Input sheet'!$B$24-(('Input sheet'!$B$24-$B$4)/'Input sheet'!$B$25)*('Input sheet'!$B$25-F1))</f>
        <v>0.11542724818536053</v>
      </c>
      <c r="G4" s="90">
        <f ca="1">IF(G1&gt;'Input sheet'!$B$25,'Input sheet'!$B$24,'Input sheet'!$B$24-(('Input sheet'!$B$24-$B$4)/'Input sheet'!$B$25)*('Input sheet'!$B$25-G1))</f>
        <v>0.125</v>
      </c>
      <c r="H4" s="90">
        <f>IF(H1&gt;'Input sheet'!$B$25,'Input sheet'!$B$24,'Input sheet'!$B$24-(('Input sheet'!$B$24-$B$4)/'Input sheet'!$B$25)*('Input sheet'!$B$25-H1))</f>
        <v>0.125</v>
      </c>
      <c r="I4" s="90">
        <f>IF(I1&gt;'Input sheet'!$B$25,'Input sheet'!$B$24,'Input sheet'!$B$24-(('Input sheet'!$B$24-$B$4)/'Input sheet'!$B$25)*('Input sheet'!$B$25-I1))</f>
        <v>0.125</v>
      </c>
      <c r="J4" s="90">
        <f>IF(J1&gt;'Input sheet'!$B$25,'Input sheet'!$B$24,'Input sheet'!$B$24-(('Input sheet'!$B$24-$B$4)/'Input sheet'!$B$25)*('Input sheet'!$B$25-J1))</f>
        <v>0.125</v>
      </c>
      <c r="K4" s="90">
        <f>IF(K1&gt;'Input sheet'!$B$25,'Input sheet'!$B$24,'Input sheet'!$B$24-(('Input sheet'!$B$24-$B$4)/'Input sheet'!$B$25)*('Input sheet'!$B$25-K1))</f>
        <v>0.125</v>
      </c>
      <c r="L4" s="90">
        <f>IF(L1&gt;'Input sheet'!$B$25,'Input sheet'!$B$24,'Input sheet'!$B$24-(('Input sheet'!$B$24-$B$4)/'Input sheet'!$B$25)*('Input sheet'!$B$25-L1))</f>
        <v>0.125</v>
      </c>
      <c r="M4" s="91">
        <f>L4</f>
        <v>0.125</v>
      </c>
    </row>
    <row r="5" spans="1:14" ht="15" customHeight="1">
      <c r="A5" s="45" t="s">
        <v>25</v>
      </c>
      <c r="B5" s="92">
        <f ca="1">IF('Input sheet'!B14="Yes",IF('Input sheet'!B13="Yes",'Input sheet'!B9+'Operating lease converter'!F32+'R&amp; D converter'!D39,'Input sheet'!B9+'Operating lease converter'!F32),IF('Input sheet'!B13="Yes",'Input sheet'!B9+'R&amp; D converter'!D39,'Input sheet'!B9))</f>
        <v>16053.980142890799</v>
      </c>
      <c r="C5" s="93">
        <f t="shared" ref="C5:M5" ca="1" si="1">C4*C3</f>
        <v>20753.255481459535</v>
      </c>
      <c r="D5" s="93">
        <f t="shared" ca="1" si="1"/>
        <v>26501.098868383844</v>
      </c>
      <c r="E5" s="93">
        <f t="shared" ca="1" si="1"/>
        <v>33506.347023052607</v>
      </c>
      <c r="F5" s="93">
        <f t="shared" ca="1" si="1"/>
        <v>42016.894899583363</v>
      </c>
      <c r="G5" s="93">
        <f t="shared" ca="1" si="1"/>
        <v>52326.71433105466</v>
      </c>
      <c r="H5" s="93">
        <f t="shared" si="1"/>
        <v>58919.880336767543</v>
      </c>
      <c r="I5" s="93">
        <f t="shared" si="1"/>
        <v>64929.708131117841</v>
      </c>
      <c r="J5" s="93">
        <f t="shared" si="1"/>
        <v>69994.225365345032</v>
      </c>
      <c r="K5" s="93">
        <f t="shared" si="1"/>
        <v>73773.913535073661</v>
      </c>
      <c r="L5" s="93">
        <f t="shared" si="1"/>
        <v>75987.13094112587</v>
      </c>
      <c r="M5" s="108">
        <f t="shared" si="1"/>
        <v>78266.744869359653</v>
      </c>
      <c r="N5" s="110">
        <f ca="1">M5-B5</f>
        <v>62212.764726468857</v>
      </c>
    </row>
    <row r="6" spans="1:14" ht="15" customHeight="1">
      <c r="A6" s="45" t="s">
        <v>142</v>
      </c>
      <c r="B6" s="95">
        <f>'Input sheet'!B20</f>
        <v>0.20204939569101418</v>
      </c>
      <c r="C6" s="96">
        <f>B6</f>
        <v>0.20204939569101418</v>
      </c>
      <c r="D6" s="96">
        <f>C6</f>
        <v>0.20204939569101418</v>
      </c>
      <c r="E6" s="96">
        <f>D6</f>
        <v>0.20204939569101418</v>
      </c>
      <c r="F6" s="96">
        <f>E6</f>
        <v>0.20204939569101418</v>
      </c>
      <c r="G6" s="96">
        <f>F6</f>
        <v>0.20204939569101418</v>
      </c>
      <c r="H6" s="96">
        <f>G6+($M$6-$G$6)/5</f>
        <v>0.20963951655281135</v>
      </c>
      <c r="I6" s="96">
        <f>H6+($M$6-$G$6)/5</f>
        <v>0.21722963741460852</v>
      </c>
      <c r="J6" s="96">
        <f>I6+($M$6-$G$6)/5</f>
        <v>0.22481975827640568</v>
      </c>
      <c r="K6" s="96">
        <f>J6+($M$6-$G$6)/5</f>
        <v>0.23240987913820285</v>
      </c>
      <c r="L6" s="96">
        <f>K6+($M$6-$G$6)/5</f>
        <v>0.24000000000000002</v>
      </c>
      <c r="M6" s="96">
        <f>IF('Input sheet'!B50="Yes",'Input sheet'!B20,'Input sheet'!B21)</f>
        <v>0.24</v>
      </c>
    </row>
    <row r="7" spans="1:14" ht="15" customHeight="1">
      <c r="A7" s="45" t="s">
        <v>12</v>
      </c>
      <c r="B7" s="92">
        <f ca="1">IF(B5&gt;0,B5*(1-B6),B5)</f>
        <v>12810.283156584172</v>
      </c>
      <c r="C7" s="93">
        <f ca="1">IF(C5&gt;0,IF(C5&lt;B10,C5,C5-(C5-B10)*C6),C5)</f>
        <v>16560.072752809407</v>
      </c>
      <c r="D7" s="93">
        <f t="shared" ref="D7:L7" ca="1" si="2">IF(D5&gt;0,IF(D5&lt;C10,D5,D5-(D5-C10)*D6),D5)</f>
        <v>21146.567856879068</v>
      </c>
      <c r="E7" s="93">
        <f t="shared" ca="1" si="2"/>
        <v>26736.409855231417</v>
      </c>
      <c r="F7" s="93">
        <f t="shared" ca="1" si="2"/>
        <v>33527.406676309693</v>
      </c>
      <c r="G7" s="93">
        <f t="shared" ca="1" si="2"/>
        <v>41754.133321968737</v>
      </c>
      <c r="H7" s="93">
        <f t="shared" ca="1" si="2"/>
        <v>46567.945107618099</v>
      </c>
      <c r="I7" s="93">
        <f t="shared" ca="1" si="2"/>
        <v>50825.051176358756</v>
      </c>
      <c r="J7" s="93">
        <f t="shared" ca="1" si="2"/>
        <v>54258.140537963896</v>
      </c>
      <c r="K7" s="93">
        <f t="shared" ca="1" si="2"/>
        <v>56628.127206834964</v>
      </c>
      <c r="L7" s="93">
        <f t="shared" ca="1" si="2"/>
        <v>57750.21951525566</v>
      </c>
      <c r="M7" s="93">
        <f>M5*(1-M6)</f>
        <v>59482.726100713335</v>
      </c>
    </row>
    <row r="8" spans="1:14" ht="15" customHeight="1">
      <c r="A8" s="45" t="s">
        <v>15</v>
      </c>
      <c r="B8" s="92"/>
      <c r="C8" s="93">
        <f t="shared" ref="C8:L8" si="3">(C3-B3)/C38</f>
        <v>5249.2499999999955</v>
      </c>
      <c r="D8" s="93">
        <f t="shared" si="3"/>
        <v>6036.6374999999953</v>
      </c>
      <c r="E8" s="93">
        <f t="shared" si="3"/>
        <v>6942.1331249999903</v>
      </c>
      <c r="F8" s="93">
        <f t="shared" si="3"/>
        <v>7983.4530937499903</v>
      </c>
      <c r="G8" s="93">
        <f t="shared" si="3"/>
        <v>9180.9710578124923</v>
      </c>
      <c r="H8" s="93">
        <f t="shared" si="3"/>
        <v>8868.8180418468655</v>
      </c>
      <c r="I8" s="93">
        <f t="shared" si="3"/>
        <v>8084.1388074777633</v>
      </c>
      <c r="J8" s="93">
        <f t="shared" si="3"/>
        <v>6812.5513268191917</v>
      </c>
      <c r="K8" s="93">
        <f t="shared" si="3"/>
        <v>5084.259459446137</v>
      </c>
      <c r="L8" s="93">
        <f t="shared" si="3"/>
        <v>2977.1163723645705</v>
      </c>
      <c r="M8" s="97">
        <f>IF(M2&gt;0,(M2/M40)*M7,0)</f>
        <v>17844.817830214</v>
      </c>
      <c r="N8" s="110">
        <f>SUM(C8:M8)</f>
        <v>85064.146614730998</v>
      </c>
    </row>
    <row r="9" spans="1:14" ht="15" customHeight="1">
      <c r="A9" s="45" t="s">
        <v>16</v>
      </c>
      <c r="B9" s="92"/>
      <c r="C9" s="93">
        <f t="shared" ref="C9:L9" ca="1" si="4">C7-C8</f>
        <v>11310.82275280941</v>
      </c>
      <c r="D9" s="93">
        <f t="shared" ca="1" si="4"/>
        <v>15109.930356879073</v>
      </c>
      <c r="E9" s="93">
        <f t="shared" ca="1" si="4"/>
        <v>19794.276730231428</v>
      </c>
      <c r="F9" s="93">
        <f t="shared" ca="1" si="4"/>
        <v>25543.953582559701</v>
      </c>
      <c r="G9" s="93">
        <f t="shared" ca="1" si="4"/>
        <v>32573.162264156243</v>
      </c>
      <c r="H9" s="93">
        <f t="shared" ca="1" si="4"/>
        <v>37699.12706577123</v>
      </c>
      <c r="I9" s="93">
        <f t="shared" ca="1" si="4"/>
        <v>42740.912368880992</v>
      </c>
      <c r="J9" s="93">
        <f t="shared" ca="1" si="4"/>
        <v>47445.589211144703</v>
      </c>
      <c r="K9" s="93">
        <f t="shared" ca="1" si="4"/>
        <v>51543.867747388824</v>
      </c>
      <c r="L9" s="93">
        <f t="shared" ca="1" si="4"/>
        <v>54773.103142891086</v>
      </c>
      <c r="M9" s="97">
        <f>M7-M8</f>
        <v>41637.908270499334</v>
      </c>
    </row>
    <row r="10" spans="1:14" ht="15" customHeight="1">
      <c r="A10" s="45" t="s">
        <v>48</v>
      </c>
      <c r="B10" s="92">
        <f>IF('Input sheet'!B52="Yes",'Input sheet'!B53,0)</f>
        <v>0</v>
      </c>
      <c r="C10" s="93">
        <f ca="1">IF(C5&lt;0,B10-C5,IF(B10&gt;C5,B10-C5,0))</f>
        <v>0</v>
      </c>
      <c r="D10" s="93">
        <f t="shared" ref="D10:M10" ca="1" si="5">IF(D5&lt;0,C10-D5,IF(C10&gt;D5,C10-D5,0))</f>
        <v>0</v>
      </c>
      <c r="E10" s="93">
        <f t="shared" ca="1" si="5"/>
        <v>0</v>
      </c>
      <c r="F10" s="93">
        <f t="shared" ca="1" si="5"/>
        <v>0</v>
      </c>
      <c r="G10" s="93">
        <f t="shared" ca="1" si="5"/>
        <v>0</v>
      </c>
      <c r="H10" s="93">
        <f t="shared" ca="1" si="5"/>
        <v>0</v>
      </c>
      <c r="I10" s="93">
        <f t="shared" ca="1" si="5"/>
        <v>0</v>
      </c>
      <c r="J10" s="93">
        <f t="shared" ca="1" si="5"/>
        <v>0</v>
      </c>
      <c r="K10" s="93">
        <f t="shared" ca="1" si="5"/>
        <v>0</v>
      </c>
      <c r="L10" s="93">
        <f t="shared" ca="1" si="5"/>
        <v>0</v>
      </c>
      <c r="M10" s="93">
        <f t="shared" ca="1" si="5"/>
        <v>0</v>
      </c>
    </row>
    <row r="11" spans="1:14" ht="15" customHeight="1">
      <c r="A11" s="45"/>
      <c r="B11" s="89"/>
      <c r="C11" s="98"/>
      <c r="D11" s="98"/>
      <c r="E11" s="98"/>
      <c r="F11" s="98"/>
      <c r="G11" s="98"/>
      <c r="H11" s="98"/>
      <c r="I11" s="98"/>
      <c r="J11" s="98"/>
      <c r="K11" s="98"/>
      <c r="L11" s="98"/>
      <c r="M11" s="98"/>
    </row>
    <row r="12" spans="1:14" ht="15" customHeight="1">
      <c r="A12" s="45" t="s">
        <v>148</v>
      </c>
      <c r="B12" s="94"/>
      <c r="C12" s="90">
        <f>'Input sheet'!B29</f>
        <v>7.9699999999999993E-2</v>
      </c>
      <c r="D12" s="90">
        <f>C12</f>
        <v>7.9699999999999993E-2</v>
      </c>
      <c r="E12" s="90">
        <f>D12</f>
        <v>7.9699999999999993E-2</v>
      </c>
      <c r="F12" s="90">
        <f>E12</f>
        <v>7.9699999999999993E-2</v>
      </c>
      <c r="G12" s="90">
        <f>F12</f>
        <v>7.9699999999999993E-2</v>
      </c>
      <c r="H12" s="90">
        <f>G12-($G$12-$M$12)/5</f>
        <v>7.8759999999999997E-2</v>
      </c>
      <c r="I12" s="90">
        <f>H12-($G$12-$M$12)/5</f>
        <v>7.782E-2</v>
      </c>
      <c r="J12" s="90">
        <f>I12-($G$12-$M$12)/5</f>
        <v>7.6880000000000004E-2</v>
      </c>
      <c r="K12" s="90">
        <f>J12-($G$12-$M$12)/5</f>
        <v>7.5940000000000007E-2</v>
      </c>
      <c r="L12" s="90">
        <f>K12-($G$12-$M$12)/5</f>
        <v>7.5000000000000011E-2</v>
      </c>
      <c r="M12" s="91">
        <f>IF('Input sheet'!B39="Yes",'Input sheet'!B40,'Input sheet'!B28+0.045)</f>
        <v>7.4999999999999997E-2</v>
      </c>
    </row>
    <row r="13" spans="1:14" ht="15" customHeight="1">
      <c r="A13" s="46" t="s">
        <v>149</v>
      </c>
      <c r="B13" s="89"/>
      <c r="C13" s="152">
        <f>1/(1+C12)</f>
        <v>0.9261831990367696</v>
      </c>
      <c r="D13" s="152">
        <f>C13*(1/(1+D12))</f>
        <v>0.8578153181779844</v>
      </c>
      <c r="E13" s="152">
        <f t="shared" ref="E13:L13" si="6">D13*(1/(1+E12))</f>
        <v>0.79449413557283</v>
      </c>
      <c r="F13" s="152">
        <f t="shared" si="6"/>
        <v>0.73584712010079667</v>
      </c>
      <c r="G13" s="152">
        <f t="shared" si="6"/>
        <v>0.6815292396969499</v>
      </c>
      <c r="H13" s="152">
        <f t="shared" si="6"/>
        <v>0.63177095896858426</v>
      </c>
      <c r="I13" s="152">
        <f t="shared" si="6"/>
        <v>0.58615627745688914</v>
      </c>
      <c r="J13" s="152">
        <f t="shared" si="6"/>
        <v>0.54430974431402668</v>
      </c>
      <c r="K13" s="152">
        <f t="shared" si="6"/>
        <v>0.50589228424821697</v>
      </c>
      <c r="L13" s="152">
        <f t="shared" si="6"/>
        <v>0.47059747371927158</v>
      </c>
      <c r="M13" s="98"/>
    </row>
    <row r="14" spans="1:14" ht="15" customHeight="1">
      <c r="A14" s="46" t="s">
        <v>21</v>
      </c>
      <c r="B14" s="89"/>
      <c r="C14" s="93">
        <f t="shared" ref="C14:L14" ca="1" si="7">C9*C13</f>
        <v>10475.894000934901</v>
      </c>
      <c r="D14" s="93">
        <f t="shared" ca="1" si="7"/>
        <v>12961.529716733407</v>
      </c>
      <c r="E14" s="93">
        <f t="shared" ca="1" si="7"/>
        <v>15726.436780074602</v>
      </c>
      <c r="F14" s="93">
        <f t="shared" ca="1" si="7"/>
        <v>18796.444679714983</v>
      </c>
      <c r="G14" s="93">
        <f t="shared" ca="1" si="7"/>
        <v>22199.562512415781</v>
      </c>
      <c r="H14" s="93">
        <f t="shared" ca="1" si="7"/>
        <v>23817.2136586208</v>
      </c>
      <c r="I14" s="93">
        <f t="shared" ca="1" si="7"/>
        <v>25052.854089254393</v>
      </c>
      <c r="J14" s="93">
        <f t="shared" ca="1" si="7"/>
        <v>25825.096532346517</v>
      </c>
      <c r="K14" s="93">
        <f t="shared" ca="1" si="7"/>
        <v>26075.64499371453</v>
      </c>
      <c r="L14" s="93">
        <f t="shared" ca="1" si="7"/>
        <v>25776.083966809638</v>
      </c>
      <c r="M14" s="98"/>
    </row>
    <row r="15" spans="1:14" ht="15" customHeight="1">
      <c r="A15" s="46"/>
      <c r="B15" s="45"/>
      <c r="C15" s="51"/>
      <c r="D15" s="51"/>
      <c r="E15" s="51"/>
      <c r="F15" s="51"/>
      <c r="G15" s="51"/>
      <c r="H15" s="51"/>
      <c r="I15" s="51"/>
      <c r="J15" s="51"/>
      <c r="K15" s="51"/>
      <c r="L15" s="51"/>
    </row>
    <row r="16" spans="1:14" ht="15" customHeight="1">
      <c r="A16" s="48" t="s">
        <v>22</v>
      </c>
      <c r="B16" s="92">
        <f>M9</f>
        <v>41637.908270499334</v>
      </c>
      <c r="C16" s="51"/>
      <c r="D16" s="51"/>
      <c r="E16" s="51"/>
      <c r="F16" s="51"/>
      <c r="G16" s="51"/>
      <c r="H16" s="51"/>
      <c r="I16" s="51"/>
      <c r="J16" s="51"/>
      <c r="K16" s="51"/>
      <c r="L16" s="51"/>
    </row>
    <row r="17" spans="1:12" ht="15" customHeight="1">
      <c r="A17" s="48" t="s">
        <v>144</v>
      </c>
      <c r="B17" s="94">
        <f>M12</f>
        <v>7.4999999999999997E-2</v>
      </c>
      <c r="C17" s="51"/>
      <c r="D17" s="51"/>
      <c r="E17" s="51"/>
      <c r="F17" s="51"/>
      <c r="G17" s="51"/>
      <c r="H17" s="51"/>
      <c r="I17" s="51"/>
      <c r="J17" s="51"/>
      <c r="K17" s="51"/>
      <c r="L17" s="51"/>
    </row>
    <row r="18" spans="1:12">
      <c r="A18" s="48" t="s">
        <v>23</v>
      </c>
      <c r="B18" s="92">
        <f>B16/(B17-M2)</f>
        <v>925286.85045554081</v>
      </c>
      <c r="C18" s="51"/>
      <c r="D18" s="153"/>
      <c r="E18" s="51"/>
      <c r="F18" s="51"/>
      <c r="G18" s="51"/>
      <c r="H18" s="51"/>
      <c r="I18" s="51"/>
      <c r="J18" s="51"/>
      <c r="K18" s="51"/>
      <c r="L18" s="51"/>
    </row>
    <row r="19" spans="1:12">
      <c r="A19" s="48" t="s">
        <v>24</v>
      </c>
      <c r="B19" s="99">
        <f>B18*L13</f>
        <v>435437.65429003892</v>
      </c>
      <c r="C19" s="51"/>
      <c r="D19" s="51"/>
      <c r="E19" s="51"/>
      <c r="F19" s="51"/>
      <c r="G19" s="51"/>
      <c r="H19" s="51"/>
      <c r="I19" s="51"/>
      <c r="J19" s="51"/>
      <c r="K19" s="51"/>
      <c r="L19" s="51"/>
    </row>
    <row r="20" spans="1:12">
      <c r="A20" s="48" t="s">
        <v>46</v>
      </c>
      <c r="B20" s="99">
        <f ca="1">SUM(C14:L14)</f>
        <v>206706.76093061955</v>
      </c>
      <c r="C20" s="51"/>
      <c r="D20" s="51"/>
      <c r="E20" s="51"/>
      <c r="F20" s="51"/>
      <c r="G20" s="51"/>
      <c r="H20" s="51"/>
      <c r="I20" s="51"/>
      <c r="J20" s="51"/>
      <c r="K20" s="51"/>
      <c r="L20" s="51"/>
    </row>
    <row r="21" spans="1:12">
      <c r="A21" s="48" t="s">
        <v>47</v>
      </c>
      <c r="B21" s="99">
        <f ca="1">B19+B20</f>
        <v>642144.41522065853</v>
      </c>
      <c r="C21" s="51"/>
      <c r="D21" s="51"/>
      <c r="E21" s="51"/>
      <c r="F21" s="51"/>
      <c r="G21" s="51"/>
      <c r="H21" s="51"/>
      <c r="I21" s="51"/>
      <c r="J21" s="51"/>
      <c r="K21" s="51"/>
      <c r="L21" s="51"/>
    </row>
    <row r="22" spans="1:12">
      <c r="A22" s="48" t="s">
        <v>112</v>
      </c>
      <c r="B22" s="100">
        <f>IF('Input sheet'!B45="Yes",'Input sheet'!B46,0)</f>
        <v>0</v>
      </c>
      <c r="C22" s="51"/>
      <c r="D22" s="51"/>
      <c r="E22" s="51"/>
      <c r="F22" s="51"/>
      <c r="G22" s="51"/>
      <c r="H22" s="51"/>
      <c r="I22" s="51"/>
      <c r="J22" s="51"/>
      <c r="K22" s="51"/>
      <c r="L22" s="51"/>
    </row>
    <row r="23" spans="1:12">
      <c r="A23" s="48" t="s">
        <v>113</v>
      </c>
      <c r="B23" s="101">
        <f ca="1">IF('Input sheet'!B47="B",('Input sheet'!B11+'Input sheet'!B12)*'Input sheet'!B48,'Valuation output'!B21*'Input sheet'!B48)</f>
        <v>321072.20761032926</v>
      </c>
      <c r="C23" s="51"/>
      <c r="D23" s="51"/>
      <c r="E23" s="51"/>
      <c r="F23" s="51"/>
      <c r="G23" s="51"/>
      <c r="H23" s="51"/>
      <c r="I23" s="51"/>
      <c r="J23" s="51"/>
      <c r="K23" s="51"/>
      <c r="L23" s="51"/>
    </row>
    <row r="24" spans="1:12">
      <c r="A24" s="48" t="s">
        <v>44</v>
      </c>
      <c r="B24" s="92">
        <f ca="1">B21*(1-B22)+B23*B22</f>
        <v>642144.41522065853</v>
      </c>
      <c r="C24" s="51"/>
      <c r="D24" s="51"/>
      <c r="E24" s="51"/>
      <c r="F24" s="51"/>
      <c r="G24" s="51"/>
      <c r="H24" s="51"/>
      <c r="I24" s="51"/>
      <c r="J24" s="51"/>
      <c r="K24" s="51"/>
      <c r="L24" s="51"/>
    </row>
    <row r="25" spans="1:12">
      <c r="A25" s="48" t="s">
        <v>392</v>
      </c>
      <c r="B25" s="92">
        <f ca="1">IF('Input sheet'!B14="Yes",'Input sheet'!B12+'Operating lease converter'!C28,'Input sheet'!B12)</f>
        <v>45435.198571092013</v>
      </c>
      <c r="C25" s="51"/>
      <c r="D25" s="51"/>
      <c r="E25" s="51"/>
      <c r="F25" s="51"/>
      <c r="G25" s="51"/>
      <c r="H25" s="51"/>
      <c r="I25" s="51"/>
      <c r="J25" s="51"/>
      <c r="K25" s="51"/>
      <c r="L25" s="51"/>
    </row>
    <row r="26" spans="1:12">
      <c r="A26" s="48" t="s">
        <v>394</v>
      </c>
      <c r="B26" s="92">
        <f>'Input sheet'!B17</f>
        <v>0</v>
      </c>
      <c r="C26" s="51"/>
      <c r="D26" s="51"/>
      <c r="E26" s="51"/>
      <c r="F26" s="51"/>
      <c r="G26" s="51"/>
      <c r="H26" s="51"/>
      <c r="I26" s="51"/>
      <c r="J26" s="51"/>
      <c r="K26" s="51"/>
      <c r="L26" s="51"/>
    </row>
    <row r="27" spans="1:12">
      <c r="A27" s="48" t="s">
        <v>391</v>
      </c>
      <c r="B27" s="92">
        <f>IF('Input sheet'!B58="YES",'Input sheet'!B15-'Input sheet'!B59*('Input sheet'!B21-'Input sheet'!B60),'Input sheet'!B15)</f>
        <v>27050</v>
      </c>
      <c r="C27" s="51"/>
      <c r="D27" s="51"/>
      <c r="E27" s="51"/>
      <c r="F27" s="51"/>
      <c r="G27" s="51"/>
      <c r="H27" s="51"/>
      <c r="I27" s="51"/>
      <c r="J27" s="51"/>
      <c r="K27" s="51"/>
      <c r="L27" s="51"/>
    </row>
    <row r="28" spans="1:12">
      <c r="A28" s="48" t="s">
        <v>390</v>
      </c>
      <c r="B28" s="92">
        <f>'Input sheet'!B16</f>
        <v>0</v>
      </c>
      <c r="C28" s="51"/>
      <c r="D28" s="51"/>
      <c r="E28" s="51"/>
      <c r="F28" s="51"/>
      <c r="G28" s="51"/>
      <c r="H28" s="51"/>
      <c r="I28" s="51"/>
      <c r="J28" s="51"/>
      <c r="K28" s="51"/>
      <c r="L28" s="51"/>
    </row>
    <row r="29" spans="1:12">
      <c r="A29" s="48" t="s">
        <v>54</v>
      </c>
      <c r="B29" s="99">
        <f ca="1">B24-B25-B26+B27+B28</f>
        <v>623759.21664956654</v>
      </c>
      <c r="C29" s="51"/>
      <c r="D29" s="51"/>
      <c r="E29" s="51"/>
      <c r="F29" s="51"/>
      <c r="G29" s="51"/>
      <c r="H29" s="51"/>
      <c r="I29" s="51"/>
      <c r="J29" s="51"/>
      <c r="K29" s="51"/>
      <c r="L29" s="51"/>
    </row>
    <row r="30" spans="1:12">
      <c r="A30" s="48" t="s">
        <v>60</v>
      </c>
      <c r="B30" s="102">
        <f>IF('Input sheet'!B31="No",0,'Option value'!D27)</f>
        <v>0</v>
      </c>
      <c r="C30" s="51"/>
      <c r="D30" s="51"/>
      <c r="E30" s="51"/>
      <c r="F30" s="51"/>
      <c r="G30" s="51"/>
      <c r="H30" s="51"/>
      <c r="I30" s="51"/>
      <c r="J30" s="51"/>
      <c r="K30" s="51"/>
      <c r="L30" s="51"/>
    </row>
    <row r="31" spans="1:12">
      <c r="A31" s="48" t="s">
        <v>61</v>
      </c>
      <c r="B31" s="99">
        <f ca="1">B29-B30</f>
        <v>623759.21664956654</v>
      </c>
      <c r="C31" s="51"/>
      <c r="D31" s="51"/>
      <c r="E31" s="51"/>
      <c r="F31" s="51"/>
      <c r="G31" s="51"/>
      <c r="H31" s="51"/>
      <c r="I31" s="51"/>
      <c r="J31" s="51"/>
      <c r="K31" s="51"/>
      <c r="L31" s="51"/>
    </row>
    <row r="32" spans="1:12">
      <c r="A32" s="48" t="s">
        <v>13</v>
      </c>
      <c r="B32" s="103">
        <f>'Input sheet'!B18</f>
        <v>497</v>
      </c>
      <c r="C32" s="51"/>
      <c r="D32" s="51"/>
      <c r="E32" s="51"/>
      <c r="F32" s="51"/>
      <c r="G32" s="51"/>
      <c r="H32" s="51"/>
      <c r="I32" s="51"/>
      <c r="J32" s="51"/>
      <c r="K32" s="51"/>
      <c r="L32" s="51"/>
    </row>
    <row r="33" spans="1:13">
      <c r="A33" s="48" t="s">
        <v>96</v>
      </c>
      <c r="B33" s="396">
        <f ca="1">B31/B32</f>
        <v>1255.0487256530514</v>
      </c>
      <c r="C33" s="51"/>
      <c r="D33" s="51"/>
      <c r="E33" s="51"/>
      <c r="F33" s="51"/>
      <c r="G33" s="51"/>
      <c r="H33" s="51"/>
      <c r="I33" s="51"/>
      <c r="J33" s="51"/>
      <c r="K33" s="51"/>
      <c r="L33" s="51"/>
    </row>
    <row r="34" spans="1:13">
      <c r="A34" s="48" t="s">
        <v>103</v>
      </c>
      <c r="B34" s="104">
        <f>'Input sheet'!B19</f>
        <v>1970.19</v>
      </c>
      <c r="C34" s="51"/>
      <c r="D34" s="51"/>
      <c r="E34" s="51"/>
      <c r="F34" s="51"/>
      <c r="G34" s="51"/>
      <c r="H34" s="51"/>
      <c r="I34" s="51"/>
      <c r="J34" s="51"/>
      <c r="K34" s="51"/>
      <c r="L34" s="51"/>
    </row>
    <row r="35" spans="1:13">
      <c r="A35" s="48" t="s">
        <v>52</v>
      </c>
      <c r="B35" s="95">
        <f ca="1">B34/B33</f>
        <v>1.5698115616784778</v>
      </c>
      <c r="C35" s="51"/>
      <c r="D35" s="51"/>
      <c r="E35" s="51"/>
      <c r="F35" s="51"/>
      <c r="G35" s="51"/>
      <c r="H35" s="51"/>
      <c r="I35" s="51"/>
      <c r="J35" s="51"/>
      <c r="K35" s="51"/>
      <c r="L35" s="51"/>
    </row>
    <row r="36" spans="1:13">
      <c r="A36" s="46"/>
      <c r="B36" s="45"/>
      <c r="C36" s="51"/>
      <c r="D36" s="51"/>
      <c r="E36" s="51"/>
      <c r="F36" s="51"/>
      <c r="G36" s="51"/>
      <c r="H36" s="51"/>
      <c r="I36" s="51"/>
      <c r="J36" s="51"/>
      <c r="K36" s="51"/>
      <c r="L36" s="51"/>
    </row>
    <row r="37" spans="1:13">
      <c r="A37" s="49" t="s">
        <v>17</v>
      </c>
      <c r="B37" s="89"/>
      <c r="C37" s="98"/>
      <c r="D37" s="98"/>
      <c r="E37" s="98"/>
      <c r="F37" s="98"/>
      <c r="G37" s="98"/>
      <c r="H37" s="98"/>
      <c r="I37" s="98"/>
      <c r="J37" s="98"/>
      <c r="K37" s="98"/>
      <c r="L37" s="98"/>
      <c r="M37" s="98" t="s">
        <v>43</v>
      </c>
    </row>
    <row r="38" spans="1:13">
      <c r="A38" s="44" t="s">
        <v>38</v>
      </c>
      <c r="B38" s="89"/>
      <c r="C38" s="105">
        <f>'Input sheet'!B26</f>
        <v>5.9472781825975138</v>
      </c>
      <c r="D38" s="105">
        <f>C38</f>
        <v>5.9472781825975138</v>
      </c>
      <c r="E38" s="105">
        <f t="shared" ref="E38:L38" si="8">D38</f>
        <v>5.9472781825975138</v>
      </c>
      <c r="F38" s="105">
        <f t="shared" si="8"/>
        <v>5.9472781825975138</v>
      </c>
      <c r="G38" s="105">
        <f t="shared" si="8"/>
        <v>5.9472781825975138</v>
      </c>
      <c r="H38" s="105">
        <f t="shared" si="8"/>
        <v>5.9472781825975138</v>
      </c>
      <c r="I38" s="105">
        <f t="shared" si="8"/>
        <v>5.9472781825975138</v>
      </c>
      <c r="J38" s="105">
        <f t="shared" si="8"/>
        <v>5.9472781825975138</v>
      </c>
      <c r="K38" s="105">
        <f t="shared" si="8"/>
        <v>5.9472781825975138</v>
      </c>
      <c r="L38" s="105">
        <f t="shared" si="8"/>
        <v>5.9472781825975138</v>
      </c>
      <c r="M38" s="98"/>
    </row>
    <row r="39" spans="1:13">
      <c r="A39" s="44" t="s">
        <v>18</v>
      </c>
      <c r="B39" s="106">
        <f ca="1">IF('Input sheet'!B14="Yes",IF('Input sheet'!B13="Yes",'Input sheet'!B11+'Input sheet'!B12-'Input sheet'!B15+'Operating lease converter'!F33+'R&amp; D converter'!D35,'Input sheet'!B11+'Input sheet'!B12-'Input sheet'!B15+'Operating lease converter'!F33),IF('Input sheet'!B13="Yes",'Input sheet'!B11+'Input sheet'!B12-'Input sheet'!B15+'R&amp; D converter'!D35,'Input sheet'!B11+'Input sheet'!B12-'Input sheet'!B15))</f>
        <v>84042.698571092013</v>
      </c>
      <c r="C39" s="107">
        <f t="shared" ref="C39:L39" ca="1" si="9">B39+C8</f>
        <v>89291.948571092013</v>
      </c>
      <c r="D39" s="107">
        <f t="shared" ca="1" si="9"/>
        <v>95328.58607109201</v>
      </c>
      <c r="E39" s="107">
        <f t="shared" ca="1" si="9"/>
        <v>102270.719196092</v>
      </c>
      <c r="F39" s="107">
        <f t="shared" ca="1" si="9"/>
        <v>110254.172289842</v>
      </c>
      <c r="G39" s="107">
        <f t="shared" ca="1" si="9"/>
        <v>119435.14334765449</v>
      </c>
      <c r="H39" s="107">
        <f t="shared" ca="1" si="9"/>
        <v>128303.96138950136</v>
      </c>
      <c r="I39" s="107">
        <f t="shared" ca="1" si="9"/>
        <v>136388.10019697913</v>
      </c>
      <c r="J39" s="107">
        <f t="shared" ca="1" si="9"/>
        <v>143200.65152379833</v>
      </c>
      <c r="K39" s="107">
        <f t="shared" ca="1" si="9"/>
        <v>148284.91098324445</v>
      </c>
      <c r="L39" s="107">
        <f t="shared" ca="1" si="9"/>
        <v>151262.02735560903</v>
      </c>
      <c r="M39" s="98"/>
    </row>
    <row r="40" spans="1:13">
      <c r="A40" s="44" t="s">
        <v>19</v>
      </c>
      <c r="B40" s="94">
        <f t="shared" ref="B40:L40" ca="1" si="10">B7/B39</f>
        <v>0.1524258903436794</v>
      </c>
      <c r="C40" s="90">
        <f t="shared" ca="1" si="10"/>
        <v>0.18545986528253094</v>
      </c>
      <c r="D40" s="90">
        <f t="shared" ca="1" si="10"/>
        <v>0.22182819160990028</v>
      </c>
      <c r="E40" s="90">
        <f t="shared" ca="1" si="10"/>
        <v>0.26142780715140485</v>
      </c>
      <c r="F40" s="90">
        <f t="shared" ca="1" si="10"/>
        <v>0.30409195389151417</v>
      </c>
      <c r="G40" s="90">
        <f t="shared" ca="1" si="10"/>
        <v>0.34959671124963504</v>
      </c>
      <c r="H40" s="90">
        <f t="shared" ca="1" si="10"/>
        <v>0.36295017397201412</v>
      </c>
      <c r="I40" s="90">
        <f t="shared" ca="1" si="10"/>
        <v>0.37265018797794269</v>
      </c>
      <c r="J40" s="90">
        <f t="shared" ca="1" si="10"/>
        <v>0.37889590557447156</v>
      </c>
      <c r="K40" s="90">
        <f t="shared" ca="1" si="10"/>
        <v>0.38188731969656503</v>
      </c>
      <c r="L40" s="109">
        <f t="shared" ca="1" si="10"/>
        <v>0.38178927338774821</v>
      </c>
      <c r="M40" s="90">
        <f>IF('Input sheet'!B42="Yes",'Input sheet'!B43,'Valuation output'!L12)</f>
        <v>0.1</v>
      </c>
    </row>
    <row r="41" spans="1:13">
      <c r="A41" s="46"/>
    </row>
  </sheetData>
  <phoneticPr fontId="6" type="noConversion"/>
  <pageMargins left="0.75" right="0.75" top="1" bottom="1" header="0.5" footer="0.5"/>
  <pageSetup orientation="portrait" horizontalDpi="4294967292" verticalDpi="4294967292"/>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43"/>
  <sheetViews>
    <sheetView tabSelected="1" zoomScale="88" zoomScaleNormal="88" workbookViewId="0">
      <selection activeCell="A3" sqref="A3:G6"/>
    </sheetView>
  </sheetViews>
  <sheetFormatPr baseColWidth="10" defaultColWidth="11.5" defaultRowHeight="16"/>
  <cols>
    <col min="1" max="1" width="20.33203125" style="302" customWidth="1"/>
    <col min="2" max="2" width="12.83203125" style="302" bestFit="1" customWidth="1"/>
    <col min="3" max="3" width="17.6640625" style="302" customWidth="1"/>
    <col min="4" max="4" width="16.5" style="302" customWidth="1"/>
    <col min="5" max="5" width="13.83203125" style="302" customWidth="1"/>
    <col min="6" max="6" width="24.6640625" style="303" customWidth="1"/>
    <col min="7" max="7" width="35.5" style="302" customWidth="1"/>
    <col min="8" max="8" width="17" customWidth="1"/>
  </cols>
  <sheetData>
    <row r="1" spans="1:11">
      <c r="A1" s="408" t="str">
        <f>'Input sheet'!B2</f>
        <v>Amazon</v>
      </c>
      <c r="B1" s="408"/>
      <c r="C1" s="408"/>
      <c r="D1" s="408"/>
      <c r="E1" s="408"/>
      <c r="F1" s="408"/>
      <c r="G1" s="408"/>
    </row>
    <row r="2" spans="1:11">
      <c r="A2" s="409" t="s">
        <v>793</v>
      </c>
      <c r="B2" s="409"/>
      <c r="C2" s="409"/>
      <c r="D2" s="409"/>
      <c r="E2" s="409"/>
      <c r="F2" s="409"/>
      <c r="G2" s="409"/>
    </row>
    <row r="3" spans="1:11" ht="16" customHeight="1">
      <c r="A3" s="418" t="s">
        <v>792</v>
      </c>
      <c r="B3" s="419"/>
      <c r="C3" s="419"/>
      <c r="D3" s="419"/>
      <c r="E3" s="419"/>
      <c r="F3" s="419"/>
      <c r="G3" s="420"/>
      <c r="H3" s="427" t="s">
        <v>653</v>
      </c>
      <c r="I3" s="428"/>
      <c r="J3" s="428"/>
      <c r="K3" s="429"/>
    </row>
    <row r="4" spans="1:11" ht="16" customHeight="1">
      <c r="A4" s="421"/>
      <c r="B4" s="422"/>
      <c r="C4" s="422"/>
      <c r="D4" s="422"/>
      <c r="E4" s="422"/>
      <c r="F4" s="422"/>
      <c r="G4" s="423"/>
      <c r="H4" s="430"/>
      <c r="I4" s="431"/>
      <c r="J4" s="431"/>
      <c r="K4" s="432"/>
    </row>
    <row r="5" spans="1:11" ht="12" customHeight="1">
      <c r="A5" s="421"/>
      <c r="B5" s="422"/>
      <c r="C5" s="422"/>
      <c r="D5" s="422"/>
      <c r="E5" s="422"/>
      <c r="F5" s="422"/>
      <c r="G5" s="423"/>
      <c r="H5" s="430"/>
      <c r="I5" s="431"/>
      <c r="J5" s="431"/>
      <c r="K5" s="432"/>
    </row>
    <row r="6" spans="1:11" ht="32" customHeight="1">
      <c r="A6" s="424"/>
      <c r="B6" s="425"/>
      <c r="C6" s="425"/>
      <c r="D6" s="425"/>
      <c r="E6" s="425"/>
      <c r="F6" s="425"/>
      <c r="G6" s="426"/>
      <c r="H6" s="433"/>
      <c r="I6" s="434"/>
      <c r="J6" s="434"/>
      <c r="K6" s="435"/>
    </row>
    <row r="7" spans="1:11">
      <c r="A7" s="410" t="s">
        <v>629</v>
      </c>
      <c r="B7" s="411"/>
      <c r="C7" s="411"/>
      <c r="D7" s="411"/>
      <c r="E7" s="411"/>
      <c r="F7" s="411"/>
      <c r="G7" s="412"/>
    </row>
    <row r="8" spans="1:11">
      <c r="A8" s="273"/>
      <c r="B8" s="268" t="s">
        <v>630</v>
      </c>
      <c r="C8" s="269" t="s">
        <v>631</v>
      </c>
      <c r="D8" s="268" t="s">
        <v>632</v>
      </c>
      <c r="E8" s="268"/>
      <c r="F8" s="268" t="s">
        <v>43</v>
      </c>
      <c r="G8" s="270" t="s">
        <v>639</v>
      </c>
    </row>
    <row r="9" spans="1:11">
      <c r="A9" s="274" t="s">
        <v>640</v>
      </c>
      <c r="B9" s="275">
        <f>'Valuation output'!B3</f>
        <v>208125</v>
      </c>
      <c r="C9" s="276">
        <f>'Input sheet'!B23</f>
        <v>0.15</v>
      </c>
      <c r="D9" s="276">
        <f>F9</f>
        <v>0.03</v>
      </c>
      <c r="E9" s="277"/>
      <c r="F9" s="276">
        <f>'Valuation output'!M2</f>
        <v>0.03</v>
      </c>
      <c r="G9" s="300" t="s">
        <v>763</v>
      </c>
      <c r="H9" s="436" t="s">
        <v>654</v>
      </c>
      <c r="I9" s="437"/>
      <c r="J9" s="437"/>
      <c r="K9" s="438"/>
    </row>
    <row r="10" spans="1:11" ht="34">
      <c r="A10" s="274" t="s">
        <v>641</v>
      </c>
      <c r="B10" s="276">
        <f ca="1">'Valuation output'!B4</f>
        <v>7.7136240926802643E-2</v>
      </c>
      <c r="C10" s="278">
        <f ca="1">B10</f>
        <v>7.7136240926802643E-2</v>
      </c>
      <c r="D10" s="279">
        <f>F10</f>
        <v>0.125</v>
      </c>
      <c r="E10" s="279"/>
      <c r="F10" s="276">
        <f>'Valuation output'!M4</f>
        <v>0.125</v>
      </c>
      <c r="G10" s="392" t="s">
        <v>764</v>
      </c>
      <c r="H10" s="439"/>
      <c r="I10" s="440"/>
      <c r="J10" s="440"/>
      <c r="K10" s="441"/>
    </row>
    <row r="11" spans="1:11">
      <c r="A11" s="274" t="s">
        <v>142</v>
      </c>
      <c r="B11" s="276">
        <f>'Valuation output'!B6</f>
        <v>0.20204939569101418</v>
      </c>
      <c r="C11" s="278">
        <f>B11</f>
        <v>0.20204939569101418</v>
      </c>
      <c r="D11" s="279">
        <f>F11</f>
        <v>0.24</v>
      </c>
      <c r="E11" s="279"/>
      <c r="F11" s="276">
        <f>'Valuation output'!M6</f>
        <v>0.24</v>
      </c>
      <c r="G11" s="305" t="s">
        <v>765</v>
      </c>
      <c r="H11" s="439"/>
      <c r="I11" s="440"/>
      <c r="J11" s="440"/>
      <c r="K11" s="441"/>
    </row>
    <row r="12" spans="1:11" ht="34">
      <c r="A12" s="274" t="s">
        <v>642</v>
      </c>
      <c r="B12" s="277"/>
      <c r="C12" s="280" t="s">
        <v>646</v>
      </c>
      <c r="D12" s="281">
        <f>'Input sheet'!B26</f>
        <v>5.9472781825975138</v>
      </c>
      <c r="E12" s="282" t="s">
        <v>658</v>
      </c>
      <c r="F12" s="283">
        <f>'Valuation output'!M2/'Valuation output'!M40</f>
        <v>0.3</v>
      </c>
      <c r="G12" s="392" t="s">
        <v>766</v>
      </c>
      <c r="H12" s="439"/>
      <c r="I12" s="440"/>
      <c r="J12" s="440"/>
      <c r="K12" s="441"/>
    </row>
    <row r="13" spans="1:11">
      <c r="A13" s="307" t="s">
        <v>656</v>
      </c>
      <c r="B13" s="311">
        <f ca="1">'Valuation output'!B40</f>
        <v>0.1524258903436794</v>
      </c>
      <c r="C13" s="314" t="s">
        <v>657</v>
      </c>
      <c r="D13" s="315">
        <f ca="1">Diagnostics!B6</f>
        <v>0.8916059098174125</v>
      </c>
      <c r="E13" s="308"/>
      <c r="F13" s="309">
        <f>'Valuation output'!M40</f>
        <v>0.1</v>
      </c>
      <c r="G13" s="310" t="s">
        <v>767</v>
      </c>
      <c r="H13" s="439"/>
      <c r="I13" s="440"/>
      <c r="J13" s="440"/>
      <c r="K13" s="441"/>
    </row>
    <row r="14" spans="1:11" ht="17" thickBot="1">
      <c r="A14" s="284" t="s">
        <v>643</v>
      </c>
      <c r="B14" s="312"/>
      <c r="C14" s="278">
        <f>'Valuation output'!C12</f>
        <v>7.9699999999999993E-2</v>
      </c>
      <c r="D14" s="279">
        <f>F14</f>
        <v>7.4999999999999997E-2</v>
      </c>
      <c r="E14" s="313"/>
      <c r="F14" s="285">
        <f>'Valuation output'!M12</f>
        <v>7.4999999999999997E-2</v>
      </c>
      <c r="G14" s="306" t="s">
        <v>768</v>
      </c>
      <c r="H14" s="442"/>
      <c r="I14" s="443"/>
      <c r="J14" s="443"/>
      <c r="K14" s="444"/>
    </row>
    <row r="15" spans="1:11" ht="17" thickBot="1">
      <c r="A15" s="413" t="s">
        <v>634</v>
      </c>
      <c r="B15" s="413"/>
      <c r="C15" s="413"/>
      <c r="D15" s="413"/>
      <c r="E15" s="413"/>
      <c r="F15" s="413"/>
      <c r="G15" s="413"/>
    </row>
    <row r="16" spans="1:11">
      <c r="A16" s="267"/>
      <c r="B16" s="271" t="s">
        <v>11</v>
      </c>
      <c r="C16" s="271" t="s">
        <v>633</v>
      </c>
      <c r="D16" s="271" t="s">
        <v>647</v>
      </c>
      <c r="E16" s="271" t="s">
        <v>635</v>
      </c>
      <c r="F16" s="271" t="s">
        <v>644</v>
      </c>
      <c r="G16" s="317" t="s">
        <v>16</v>
      </c>
      <c r="H16" s="445" t="s">
        <v>655</v>
      </c>
      <c r="I16" s="446"/>
      <c r="J16" s="446"/>
      <c r="K16" s="447"/>
    </row>
    <row r="17" spans="1:11">
      <c r="A17" s="286">
        <v>1</v>
      </c>
      <c r="B17" s="287">
        <f>'Valuation output'!C3</f>
        <v>239343.74999999997</v>
      </c>
      <c r="C17" s="288">
        <f ca="1">'Valuation output'!C4</f>
        <v>8.6708992741442115E-2</v>
      </c>
      <c r="D17" s="275">
        <f ca="1">B17*C17</f>
        <v>20753.255481459535</v>
      </c>
      <c r="E17" s="287">
        <f ca="1">'Valuation output'!C7</f>
        <v>16560.072752809407</v>
      </c>
      <c r="F17" s="287">
        <f>'Valuation output'!C8</f>
        <v>5249.2499999999955</v>
      </c>
      <c r="G17" s="318">
        <f ca="1">E17-F17</f>
        <v>11310.82275280941</v>
      </c>
      <c r="H17" s="448"/>
      <c r="I17" s="449"/>
      <c r="J17" s="449"/>
      <c r="K17" s="450"/>
    </row>
    <row r="18" spans="1:11">
      <c r="A18" s="286">
        <v>2</v>
      </c>
      <c r="B18" s="287">
        <f>'Valuation output'!D3</f>
        <v>275245.31249999994</v>
      </c>
      <c r="C18" s="288">
        <f ca="1">'Valuation output'!D4</f>
        <v>9.6281744556081586E-2</v>
      </c>
      <c r="D18" s="275">
        <f t="shared" ref="D18:D27" ca="1" si="0">B18*C18</f>
        <v>26501.098868383844</v>
      </c>
      <c r="E18" s="287">
        <f ca="1">'Valuation output'!D7</f>
        <v>21146.567856879068</v>
      </c>
      <c r="F18" s="287">
        <f>'Valuation output'!D8</f>
        <v>6036.6374999999953</v>
      </c>
      <c r="G18" s="318">
        <f t="shared" ref="G18:G27" ca="1" si="1">E18-F18</f>
        <v>15109.930356879073</v>
      </c>
      <c r="H18" s="448"/>
      <c r="I18" s="449"/>
      <c r="J18" s="449"/>
      <c r="K18" s="450"/>
    </row>
    <row r="19" spans="1:11">
      <c r="A19" s="286">
        <v>3</v>
      </c>
      <c r="B19" s="287">
        <f>'Valuation output'!E3</f>
        <v>316532.10937499988</v>
      </c>
      <c r="C19" s="288">
        <f ca="1">'Valuation output'!E4</f>
        <v>0.10585449637072106</v>
      </c>
      <c r="D19" s="275">
        <f t="shared" ca="1" si="0"/>
        <v>33506.347023052607</v>
      </c>
      <c r="E19" s="287">
        <f ca="1">'Valuation output'!E7</f>
        <v>26736.409855231417</v>
      </c>
      <c r="F19" s="287">
        <f>'Valuation output'!E8</f>
        <v>6942.1331249999903</v>
      </c>
      <c r="G19" s="318">
        <f t="shared" ca="1" si="1"/>
        <v>19794.276730231428</v>
      </c>
      <c r="H19" s="448"/>
      <c r="I19" s="449"/>
      <c r="J19" s="449"/>
      <c r="K19" s="450"/>
    </row>
    <row r="20" spans="1:11">
      <c r="A20" s="286">
        <v>4</v>
      </c>
      <c r="B20" s="287">
        <f>'Valuation output'!F3</f>
        <v>364011.92578124983</v>
      </c>
      <c r="C20" s="288">
        <f ca="1">'Valuation output'!F4</f>
        <v>0.11542724818536053</v>
      </c>
      <c r="D20" s="275">
        <f t="shared" ca="1" si="0"/>
        <v>42016.894899583363</v>
      </c>
      <c r="E20" s="287">
        <f ca="1">'Valuation output'!F7</f>
        <v>33527.406676309693</v>
      </c>
      <c r="F20" s="287">
        <f>'Valuation output'!F8</f>
        <v>7983.4530937499903</v>
      </c>
      <c r="G20" s="318">
        <f t="shared" ca="1" si="1"/>
        <v>25543.953582559701</v>
      </c>
      <c r="H20" s="448"/>
      <c r="I20" s="449"/>
      <c r="J20" s="449"/>
      <c r="K20" s="450"/>
    </row>
    <row r="21" spans="1:11">
      <c r="A21" s="286">
        <v>5</v>
      </c>
      <c r="B21" s="287">
        <f>'Valuation output'!G3</f>
        <v>418613.71464843728</v>
      </c>
      <c r="C21" s="288">
        <f ca="1">'Valuation output'!G4</f>
        <v>0.125</v>
      </c>
      <c r="D21" s="275">
        <f t="shared" ca="1" si="0"/>
        <v>52326.71433105466</v>
      </c>
      <c r="E21" s="287">
        <f ca="1">'Valuation output'!G7</f>
        <v>41754.133321968737</v>
      </c>
      <c r="F21" s="287">
        <f>'Valuation output'!G8</f>
        <v>9180.9710578124923</v>
      </c>
      <c r="G21" s="318">
        <f t="shared" ca="1" si="1"/>
        <v>32573.162264156243</v>
      </c>
      <c r="H21" s="448"/>
      <c r="I21" s="449"/>
      <c r="J21" s="449"/>
      <c r="K21" s="450"/>
    </row>
    <row r="22" spans="1:11">
      <c r="A22" s="286">
        <v>6</v>
      </c>
      <c r="B22" s="287">
        <f>'Valuation output'!H3</f>
        <v>471359.04269414034</v>
      </c>
      <c r="C22" s="288">
        <f>'Valuation output'!H4</f>
        <v>0.125</v>
      </c>
      <c r="D22" s="275">
        <f t="shared" si="0"/>
        <v>58919.880336767543</v>
      </c>
      <c r="E22" s="287">
        <f ca="1">'Valuation output'!H7</f>
        <v>46567.945107618099</v>
      </c>
      <c r="F22" s="287">
        <f>'Valuation output'!H8</f>
        <v>8868.8180418468655</v>
      </c>
      <c r="G22" s="318">
        <f t="shared" ca="1" si="1"/>
        <v>37699.12706577123</v>
      </c>
      <c r="H22" s="448"/>
      <c r="I22" s="449"/>
      <c r="J22" s="449"/>
      <c r="K22" s="450"/>
    </row>
    <row r="23" spans="1:11">
      <c r="A23" s="286">
        <v>7</v>
      </c>
      <c r="B23" s="287">
        <f>'Valuation output'!I3</f>
        <v>519437.66504894273</v>
      </c>
      <c r="C23" s="288">
        <f>'Valuation output'!I4</f>
        <v>0.125</v>
      </c>
      <c r="D23" s="275">
        <f t="shared" si="0"/>
        <v>64929.708131117841</v>
      </c>
      <c r="E23" s="287">
        <f ca="1">'Valuation output'!I7</f>
        <v>50825.051176358756</v>
      </c>
      <c r="F23" s="287">
        <f>'Valuation output'!I8</f>
        <v>8084.1388074777633</v>
      </c>
      <c r="G23" s="318">
        <f t="shared" ca="1" si="1"/>
        <v>42740.912368880992</v>
      </c>
      <c r="H23" s="448"/>
      <c r="I23" s="449"/>
      <c r="J23" s="449"/>
      <c r="K23" s="450"/>
    </row>
    <row r="24" spans="1:11">
      <c r="A24" s="286">
        <v>8</v>
      </c>
      <c r="B24" s="287">
        <f>'Valuation output'!J3</f>
        <v>559953.80292276025</v>
      </c>
      <c r="C24" s="288">
        <f>'Valuation output'!J4</f>
        <v>0.125</v>
      </c>
      <c r="D24" s="275">
        <f t="shared" si="0"/>
        <v>69994.225365345032</v>
      </c>
      <c r="E24" s="287">
        <f ca="1">'Valuation output'!J7</f>
        <v>54258.140537963896</v>
      </c>
      <c r="F24" s="287">
        <f>'Valuation output'!J8</f>
        <v>6812.5513268191917</v>
      </c>
      <c r="G24" s="318">
        <f t="shared" ca="1" si="1"/>
        <v>47445.589211144703</v>
      </c>
      <c r="H24" s="448"/>
      <c r="I24" s="449"/>
      <c r="J24" s="449"/>
      <c r="K24" s="450"/>
    </row>
    <row r="25" spans="1:11">
      <c r="A25" s="286">
        <v>9</v>
      </c>
      <c r="B25" s="287">
        <f>'Valuation output'!K3</f>
        <v>590191.30828058929</v>
      </c>
      <c r="C25" s="288">
        <f>'Valuation output'!K4</f>
        <v>0.125</v>
      </c>
      <c r="D25" s="275">
        <f t="shared" si="0"/>
        <v>73773.913535073661</v>
      </c>
      <c r="E25" s="287">
        <f ca="1">'Valuation output'!K7</f>
        <v>56628.127206834964</v>
      </c>
      <c r="F25" s="287">
        <f>'Valuation output'!K8</f>
        <v>5084.259459446137</v>
      </c>
      <c r="G25" s="318">
        <f t="shared" ca="1" si="1"/>
        <v>51543.867747388824</v>
      </c>
      <c r="H25" s="448"/>
      <c r="I25" s="449"/>
      <c r="J25" s="449"/>
      <c r="K25" s="450"/>
    </row>
    <row r="26" spans="1:11">
      <c r="A26" s="286">
        <v>10</v>
      </c>
      <c r="B26" s="287">
        <f>'Valuation output'!L3</f>
        <v>607897.04752900696</v>
      </c>
      <c r="C26" s="288">
        <f>'Valuation output'!L4</f>
        <v>0.125</v>
      </c>
      <c r="D26" s="275">
        <f t="shared" si="0"/>
        <v>75987.13094112587</v>
      </c>
      <c r="E26" s="287">
        <f ca="1">'Valuation output'!L7</f>
        <v>57750.21951525566</v>
      </c>
      <c r="F26" s="287">
        <f>'Valuation output'!L8</f>
        <v>2977.1163723645705</v>
      </c>
      <c r="G26" s="318">
        <f t="shared" ca="1" si="1"/>
        <v>54773.103142891086</v>
      </c>
      <c r="H26" s="448"/>
      <c r="I26" s="449"/>
      <c r="J26" s="449"/>
      <c r="K26" s="450"/>
    </row>
    <row r="27" spans="1:11" ht="17" thickBot="1">
      <c r="A27" s="289" t="s">
        <v>45</v>
      </c>
      <c r="B27" s="290">
        <f>'Valuation output'!M3</f>
        <v>626133.95895487722</v>
      </c>
      <c r="C27" s="291">
        <f>'Valuation output'!M4</f>
        <v>0.125</v>
      </c>
      <c r="D27" s="275">
        <f t="shared" si="0"/>
        <v>78266.744869359653</v>
      </c>
      <c r="E27" s="290">
        <f>'Valuation output'!M7</f>
        <v>59482.726100713335</v>
      </c>
      <c r="F27" s="290">
        <f>'Valuation output'!M8</f>
        <v>17844.817830214</v>
      </c>
      <c r="G27" s="318">
        <f t="shared" si="1"/>
        <v>41637.908270499334</v>
      </c>
      <c r="H27" s="451"/>
      <c r="I27" s="452"/>
      <c r="J27" s="452"/>
      <c r="K27" s="453"/>
    </row>
    <row r="28" spans="1:11" ht="17" thickBot="1">
      <c r="A28" s="414" t="s">
        <v>636</v>
      </c>
      <c r="B28" s="414"/>
      <c r="C28" s="414"/>
      <c r="D28" s="414"/>
      <c r="E28" s="414"/>
      <c r="F28" s="414"/>
      <c r="G28" s="414"/>
    </row>
    <row r="29" spans="1:11">
      <c r="A29" s="415" t="s">
        <v>637</v>
      </c>
      <c r="B29" s="416"/>
      <c r="C29" s="417"/>
      <c r="D29" s="292">
        <f>'Valuation output'!B18</f>
        <v>925286.85045554081</v>
      </c>
      <c r="E29" s="293"/>
      <c r="F29" s="294"/>
      <c r="G29" s="295"/>
      <c r="H29" s="454" t="s">
        <v>659</v>
      </c>
      <c r="I29" s="455"/>
      <c r="J29" s="455"/>
      <c r="K29" s="455"/>
    </row>
    <row r="30" spans="1:11">
      <c r="A30" s="405" t="s">
        <v>638</v>
      </c>
      <c r="B30" s="406"/>
      <c r="C30" s="407"/>
      <c r="D30" s="296">
        <f>'Valuation output'!B19</f>
        <v>435437.65429003892</v>
      </c>
      <c r="E30" s="297"/>
      <c r="F30" s="298"/>
      <c r="G30" s="299"/>
      <c r="H30" s="454"/>
      <c r="I30" s="455"/>
      <c r="J30" s="455"/>
      <c r="K30" s="455"/>
    </row>
    <row r="31" spans="1:11">
      <c r="A31" s="405" t="s">
        <v>46</v>
      </c>
      <c r="B31" s="406"/>
      <c r="C31" s="407"/>
      <c r="D31" s="296">
        <f ca="1">'Valuation output'!B20</f>
        <v>206706.76093061955</v>
      </c>
      <c r="E31" s="297"/>
      <c r="F31" s="298"/>
      <c r="G31" s="299"/>
      <c r="H31" s="454"/>
      <c r="I31" s="455"/>
      <c r="J31" s="455"/>
      <c r="K31" s="455"/>
    </row>
    <row r="32" spans="1:11">
      <c r="A32" s="405" t="s">
        <v>44</v>
      </c>
      <c r="B32" s="406"/>
      <c r="C32" s="407"/>
      <c r="D32" s="296">
        <f ca="1">'Valuation output'!B21</f>
        <v>642144.41522065853</v>
      </c>
      <c r="E32" s="297"/>
      <c r="F32" s="298"/>
      <c r="G32" s="299"/>
      <c r="H32" s="454"/>
      <c r="I32" s="455"/>
      <c r="J32" s="455"/>
      <c r="K32" s="455"/>
    </row>
    <row r="33" spans="1:11">
      <c r="A33" s="405" t="s">
        <v>648</v>
      </c>
      <c r="B33" s="406"/>
      <c r="C33" s="407"/>
      <c r="D33" s="319">
        <f ca="1">D32-'Valuation output'!B24</f>
        <v>0</v>
      </c>
      <c r="E33" s="456" t="s">
        <v>112</v>
      </c>
      <c r="F33" s="457"/>
      <c r="G33" s="320">
        <f>'Valuation output'!B22</f>
        <v>0</v>
      </c>
      <c r="H33" s="440"/>
      <c r="I33" s="455"/>
      <c r="J33" s="455"/>
      <c r="K33" s="455"/>
    </row>
    <row r="34" spans="1:11">
      <c r="A34" s="405" t="s">
        <v>649</v>
      </c>
      <c r="B34" s="406"/>
      <c r="C34" s="407"/>
      <c r="D34" s="296">
        <f ca="1">'Valuation output'!B25+'Valuation output'!B26</f>
        <v>45435.198571092013</v>
      </c>
      <c r="E34" s="297"/>
      <c r="F34" s="298"/>
      <c r="G34" s="299"/>
      <c r="H34" s="454"/>
      <c r="I34" s="455"/>
      <c r="J34" s="455"/>
      <c r="K34" s="455"/>
    </row>
    <row r="35" spans="1:11">
      <c r="A35" s="405" t="s">
        <v>650</v>
      </c>
      <c r="B35" s="406"/>
      <c r="C35" s="407"/>
      <c r="D35" s="296">
        <f>'Valuation output'!B27+'Valuation output'!B28</f>
        <v>27050</v>
      </c>
      <c r="E35" s="297"/>
      <c r="F35" s="298"/>
      <c r="G35" s="299"/>
      <c r="H35" s="454"/>
      <c r="I35" s="455"/>
      <c r="J35" s="455"/>
      <c r="K35" s="455"/>
    </row>
    <row r="36" spans="1:11">
      <c r="A36" s="405" t="s">
        <v>54</v>
      </c>
      <c r="B36" s="406"/>
      <c r="C36" s="407"/>
      <c r="D36" s="296">
        <f ca="1">D32-D33-D34+D35</f>
        <v>623759.21664956654</v>
      </c>
      <c r="E36" s="297"/>
      <c r="F36" s="298"/>
      <c r="G36" s="299"/>
      <c r="H36" s="454"/>
      <c r="I36" s="455"/>
      <c r="J36" s="455"/>
      <c r="K36" s="455"/>
    </row>
    <row r="37" spans="1:11">
      <c r="A37" s="405" t="s">
        <v>651</v>
      </c>
      <c r="B37" s="406"/>
      <c r="C37" s="407"/>
      <c r="D37" s="296">
        <f>'Valuation output'!B30</f>
        <v>0</v>
      </c>
      <c r="E37" s="297"/>
      <c r="F37" s="298"/>
      <c r="G37" s="299"/>
      <c r="H37" s="454"/>
      <c r="I37" s="455"/>
      <c r="J37" s="455"/>
      <c r="K37" s="455"/>
    </row>
    <row r="38" spans="1:11" ht="17" thickBot="1">
      <c r="A38" s="458" t="s">
        <v>645</v>
      </c>
      <c r="B38" s="459"/>
      <c r="C38" s="459"/>
      <c r="D38" s="304">
        <f>'Valuation output'!B32</f>
        <v>497</v>
      </c>
      <c r="E38" s="298"/>
      <c r="F38" s="301"/>
      <c r="G38" s="299"/>
      <c r="H38" s="454"/>
      <c r="I38" s="455"/>
      <c r="J38" s="455"/>
      <c r="K38" s="455"/>
    </row>
    <row r="39" spans="1:11" ht="17" thickBot="1">
      <c r="A39" s="460" t="s">
        <v>623</v>
      </c>
      <c r="B39" s="461"/>
      <c r="C39" s="461"/>
      <c r="D39" s="272">
        <f ca="1">(D36-D37)/D38</f>
        <v>1255.0487256530514</v>
      </c>
      <c r="E39" s="462" t="s">
        <v>652</v>
      </c>
      <c r="F39" s="463"/>
      <c r="G39" s="316">
        <f>'Input sheet'!B19</f>
        <v>1970.19</v>
      </c>
      <c r="H39" s="454"/>
      <c r="I39" s="455"/>
      <c r="J39" s="455"/>
      <c r="K39" s="455"/>
    </row>
    <row r="43" spans="1:11">
      <c r="J43" s="338">
        <f ca="1">D39/1944</f>
        <v>0.64560119632358615</v>
      </c>
    </row>
  </sheetData>
  <mergeCells count="23">
    <mergeCell ref="A37:C37"/>
    <mergeCell ref="A29:C29"/>
    <mergeCell ref="A3:G6"/>
    <mergeCell ref="H3:K6"/>
    <mergeCell ref="H9:K14"/>
    <mergeCell ref="H16:K27"/>
    <mergeCell ref="H29:K39"/>
    <mergeCell ref="E33:F33"/>
    <mergeCell ref="A38:C38"/>
    <mergeCell ref="A39:C39"/>
    <mergeCell ref="A33:C33"/>
    <mergeCell ref="A32:C32"/>
    <mergeCell ref="E39:F39"/>
    <mergeCell ref="A31:C31"/>
    <mergeCell ref="A34:C34"/>
    <mergeCell ref="A35:C35"/>
    <mergeCell ref="A36:C36"/>
    <mergeCell ref="A1:G1"/>
    <mergeCell ref="A2:G2"/>
    <mergeCell ref="A7:G7"/>
    <mergeCell ref="A15:G15"/>
    <mergeCell ref="A28:G28"/>
    <mergeCell ref="A30:C30"/>
  </mergeCells>
  <pageMargins left="0.75" right="0.75" top="1" bottom="1" header="0.3" footer="0.3"/>
  <pageSetup orientation="portrait" horizontalDpi="0" verticalDpi="0"/>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50"/>
  <sheetViews>
    <sheetView topLeftCell="A14" workbookViewId="0">
      <selection activeCell="A50" sqref="A50:IV50"/>
    </sheetView>
  </sheetViews>
  <sheetFormatPr baseColWidth="10" defaultColWidth="11.5" defaultRowHeight="12"/>
  <sheetData>
    <row r="1" spans="1:8" s="330" customFormat="1" ht="46" thickBot="1">
      <c r="A1" s="329" t="s">
        <v>120</v>
      </c>
      <c r="B1" s="329" t="s">
        <v>11</v>
      </c>
      <c r="C1" s="329" t="s">
        <v>665</v>
      </c>
      <c r="D1" s="329" t="s">
        <v>681</v>
      </c>
      <c r="E1" s="329" t="s">
        <v>666</v>
      </c>
      <c r="F1" s="329" t="s">
        <v>48</v>
      </c>
      <c r="G1" s="329" t="s">
        <v>667</v>
      </c>
      <c r="H1" s="329" t="s">
        <v>668</v>
      </c>
    </row>
    <row r="2" spans="1:8" s="330" customFormat="1">
      <c r="A2" s="330" t="s">
        <v>680</v>
      </c>
      <c r="B2" s="331">
        <f>'Valuation output'!B3</f>
        <v>208125</v>
      </c>
      <c r="D2" s="332">
        <f ca="1">'Valuation output'!B4</f>
        <v>7.7136240926802643E-2</v>
      </c>
      <c r="E2" s="331">
        <f ca="1">B2*D2</f>
        <v>16053.980142890799</v>
      </c>
      <c r="F2" s="331">
        <f>'Valuation output'!B10</f>
        <v>0</v>
      </c>
      <c r="G2" s="331">
        <f ca="1">E2-H2</f>
        <v>3243.6969863066279</v>
      </c>
      <c r="H2" s="331">
        <f ca="1">'Valuation output'!B7</f>
        <v>12810.283156584172</v>
      </c>
    </row>
    <row r="3" spans="1:8" s="330" customFormat="1">
      <c r="A3" s="330">
        <v>1</v>
      </c>
      <c r="B3" s="331">
        <f>'Valuation output'!C3</f>
        <v>239343.74999999997</v>
      </c>
      <c r="C3" s="332">
        <f>'Valuation output'!C2</f>
        <v>0.15</v>
      </c>
      <c r="D3" s="332">
        <f ca="1">'Valuation output'!C4</f>
        <v>8.6708992741442115E-2</v>
      </c>
      <c r="E3" s="331">
        <f ca="1">B3*D3</f>
        <v>20753.255481459535</v>
      </c>
      <c r="F3" s="331">
        <f ca="1">'Valuation output'!C10</f>
        <v>0</v>
      </c>
      <c r="G3" s="331">
        <f t="shared" ref="G3:G12" ca="1" si="0">E3-H3</f>
        <v>4193.1827286501284</v>
      </c>
      <c r="H3" s="331">
        <f ca="1">'Valuation output'!C7</f>
        <v>16560.072752809407</v>
      </c>
    </row>
    <row r="4" spans="1:8" s="330" customFormat="1">
      <c r="A4" s="330">
        <v>2</v>
      </c>
      <c r="B4" s="334">
        <f>'Valuation output'!D3</f>
        <v>275245.31249999994</v>
      </c>
      <c r="C4" s="332">
        <f>B4/B3-1</f>
        <v>0.14999999999999991</v>
      </c>
      <c r="D4" s="332">
        <f ca="1">'Valuation output'!D4</f>
        <v>9.6281744556081586E-2</v>
      </c>
      <c r="E4" s="331">
        <f t="shared" ref="E4:E12" ca="1" si="1">B4*D4</f>
        <v>26501.098868383844</v>
      </c>
      <c r="F4" s="331">
        <f ca="1">'Valuation output'!D10</f>
        <v>0</v>
      </c>
      <c r="G4" s="331">
        <f t="shared" ca="1" si="0"/>
        <v>5354.531011504776</v>
      </c>
      <c r="H4" s="331">
        <f ca="1">'Valuation output'!D7</f>
        <v>21146.567856879068</v>
      </c>
    </row>
    <row r="5" spans="1:8" s="330" customFormat="1">
      <c r="A5" s="330">
        <v>3</v>
      </c>
      <c r="B5" s="331">
        <f>'Valuation output'!E3</f>
        <v>316532.10937499988</v>
      </c>
      <c r="C5" s="332">
        <f t="shared" ref="C5:C12" si="2">B5/B4-1</f>
        <v>0.14999999999999991</v>
      </c>
      <c r="D5" s="332">
        <f ca="1">'Valuation output'!E4</f>
        <v>0.10585449637072106</v>
      </c>
      <c r="E5" s="331">
        <f t="shared" ca="1" si="1"/>
        <v>33506.347023052607</v>
      </c>
      <c r="F5" s="331">
        <f ca="1">'Valuation output'!E10</f>
        <v>0</v>
      </c>
      <c r="G5" s="331">
        <f t="shared" ca="1" si="0"/>
        <v>6769.9371678211901</v>
      </c>
      <c r="H5" s="331">
        <f ca="1">'Valuation output'!E7</f>
        <v>26736.409855231417</v>
      </c>
    </row>
    <row r="6" spans="1:8" s="330" customFormat="1">
      <c r="A6" s="330">
        <v>4</v>
      </c>
      <c r="B6" s="331">
        <f>'Valuation output'!F3</f>
        <v>364011.92578124983</v>
      </c>
      <c r="C6" s="332">
        <f t="shared" si="2"/>
        <v>0.14999999999999991</v>
      </c>
      <c r="D6" s="332">
        <f ca="1">'Valuation output'!F4</f>
        <v>0.11542724818536053</v>
      </c>
      <c r="E6" s="331">
        <f t="shared" ca="1" si="1"/>
        <v>42016.894899583363</v>
      </c>
      <c r="F6" s="331">
        <f ca="1">'Valuation output'!F10</f>
        <v>0</v>
      </c>
      <c r="G6" s="331">
        <f t="shared" ca="1" si="0"/>
        <v>8489.4882232736709</v>
      </c>
      <c r="H6" s="331">
        <f ca="1">'Valuation output'!F7</f>
        <v>33527.406676309693</v>
      </c>
    </row>
    <row r="7" spans="1:8" s="330" customFormat="1">
      <c r="A7" s="330">
        <v>5</v>
      </c>
      <c r="B7" s="331">
        <f>'Valuation output'!G3</f>
        <v>418613.71464843728</v>
      </c>
      <c r="C7" s="332">
        <f t="shared" si="2"/>
        <v>0.14999999999999991</v>
      </c>
      <c r="D7" s="332">
        <f ca="1">'Valuation output'!G4</f>
        <v>0.125</v>
      </c>
      <c r="E7" s="331">
        <f t="shared" ca="1" si="1"/>
        <v>52326.71433105466</v>
      </c>
      <c r="F7" s="331">
        <f ca="1">'Valuation output'!G10</f>
        <v>0</v>
      </c>
      <c r="G7" s="331">
        <f t="shared" ca="1" si="0"/>
        <v>10572.581009085923</v>
      </c>
      <c r="H7" s="331">
        <f ca="1">'Valuation output'!G7</f>
        <v>41754.133321968737</v>
      </c>
    </row>
    <row r="8" spans="1:8" s="330" customFormat="1">
      <c r="A8" s="330">
        <v>6</v>
      </c>
      <c r="B8" s="331">
        <f>'Valuation output'!H3</f>
        <v>471359.04269414034</v>
      </c>
      <c r="C8" s="332">
        <f t="shared" si="2"/>
        <v>0.12599999999999989</v>
      </c>
      <c r="D8" s="332">
        <f>'Valuation output'!H4</f>
        <v>0.125</v>
      </c>
      <c r="E8" s="331">
        <f t="shared" si="1"/>
        <v>58919.880336767543</v>
      </c>
      <c r="F8" s="331">
        <f ca="1">'Valuation output'!H10</f>
        <v>0</v>
      </c>
      <c r="G8" s="331">
        <f t="shared" ca="1" si="0"/>
        <v>12351.935229149443</v>
      </c>
      <c r="H8" s="331">
        <f ca="1">'Valuation output'!H7</f>
        <v>46567.945107618099</v>
      </c>
    </row>
    <row r="9" spans="1:8" s="330" customFormat="1">
      <c r="A9" s="330">
        <v>7</v>
      </c>
      <c r="B9" s="331">
        <f>'Valuation output'!I3</f>
        <v>519437.66504894273</v>
      </c>
      <c r="C9" s="332">
        <f t="shared" si="2"/>
        <v>0.10200000000000009</v>
      </c>
      <c r="D9" s="332">
        <f>'Valuation output'!I4</f>
        <v>0.125</v>
      </c>
      <c r="E9" s="331">
        <f t="shared" si="1"/>
        <v>64929.708131117841</v>
      </c>
      <c r="F9" s="331">
        <f ca="1">'Valuation output'!I10</f>
        <v>0</v>
      </c>
      <c r="G9" s="331">
        <f t="shared" ca="1" si="0"/>
        <v>14104.656954759084</v>
      </c>
      <c r="H9" s="331">
        <f ca="1">'Valuation output'!I7</f>
        <v>50825.051176358756</v>
      </c>
    </row>
    <row r="10" spans="1:8" s="330" customFormat="1">
      <c r="A10" s="330">
        <v>8</v>
      </c>
      <c r="B10" s="331">
        <f>'Valuation output'!J3</f>
        <v>559953.80292276025</v>
      </c>
      <c r="C10" s="332">
        <f t="shared" si="2"/>
        <v>7.8000000000000069E-2</v>
      </c>
      <c r="D10" s="332">
        <f>'Valuation output'!J4</f>
        <v>0.125</v>
      </c>
      <c r="E10" s="331">
        <f t="shared" si="1"/>
        <v>69994.225365345032</v>
      </c>
      <c r="F10" s="331">
        <f ca="1">'Valuation output'!J10</f>
        <v>0</v>
      </c>
      <c r="G10" s="331">
        <f t="shared" ca="1" si="0"/>
        <v>15736.084827381135</v>
      </c>
      <c r="H10" s="331">
        <f ca="1">'Valuation output'!J7</f>
        <v>54258.140537963896</v>
      </c>
    </row>
    <row r="11" spans="1:8" s="330" customFormat="1">
      <c r="A11" s="330">
        <v>9</v>
      </c>
      <c r="B11" s="331">
        <f>'Valuation output'!K3</f>
        <v>590191.30828058929</v>
      </c>
      <c r="C11" s="332">
        <f t="shared" si="2"/>
        <v>5.4000000000000048E-2</v>
      </c>
      <c r="D11" s="332">
        <f>'Valuation output'!K4</f>
        <v>0.125</v>
      </c>
      <c r="E11" s="331">
        <f t="shared" si="1"/>
        <v>73773.913535073661</v>
      </c>
      <c r="F11" s="331">
        <f ca="1">'Valuation output'!K10</f>
        <v>0</v>
      </c>
      <c r="G11" s="331">
        <f t="shared" ca="1" si="0"/>
        <v>17145.786328238697</v>
      </c>
      <c r="H11" s="331">
        <f ca="1">'Valuation output'!K7</f>
        <v>56628.127206834964</v>
      </c>
    </row>
    <row r="12" spans="1:8" s="330" customFormat="1">
      <c r="A12" s="330">
        <v>10</v>
      </c>
      <c r="B12" s="331">
        <f>'Valuation output'!L3</f>
        <v>607897.04752900696</v>
      </c>
      <c r="C12" s="332">
        <f t="shared" si="2"/>
        <v>3.0000000000000027E-2</v>
      </c>
      <c r="D12" s="332">
        <f>'Valuation output'!L4</f>
        <v>0.125</v>
      </c>
      <c r="E12" s="331">
        <f t="shared" si="1"/>
        <v>75987.13094112587</v>
      </c>
      <c r="F12" s="331">
        <f ca="1">'Valuation output'!L10</f>
        <v>0</v>
      </c>
      <c r="G12" s="331">
        <f t="shared" ca="1" si="0"/>
        <v>18236.91142587021</v>
      </c>
      <c r="H12" s="331">
        <f ca="1">'Valuation output'!L7</f>
        <v>57750.21951525566</v>
      </c>
    </row>
    <row r="13" spans="1:8" s="330" customFormat="1" ht="13" thickBot="1"/>
    <row r="14" spans="1:8" s="330" customFormat="1" ht="46" thickBot="1">
      <c r="A14" s="329" t="s">
        <v>120</v>
      </c>
      <c r="B14" s="329" t="s">
        <v>668</v>
      </c>
      <c r="C14" s="329" t="s">
        <v>669</v>
      </c>
      <c r="D14" s="329" t="s">
        <v>670</v>
      </c>
      <c r="E14" s="329" t="s">
        <v>671</v>
      </c>
      <c r="F14" s="329" t="s">
        <v>16</v>
      </c>
      <c r="G14" s="329" t="s">
        <v>672</v>
      </c>
      <c r="H14" s="329" t="s">
        <v>673</v>
      </c>
    </row>
    <row r="15" spans="1:8" s="330" customFormat="1">
      <c r="A15" s="330" t="str">
        <f>A2</f>
        <v>Traling 12 month</v>
      </c>
      <c r="B15" s="331">
        <f ca="1">H2</f>
        <v>12810.283156584172</v>
      </c>
      <c r="G15" s="336">
        <f ca="1">'Valuation output'!B39</f>
        <v>84042.698571092013</v>
      </c>
      <c r="H15" s="337">
        <f ca="1">B15/G15</f>
        <v>0.1524258903436794</v>
      </c>
    </row>
    <row r="16" spans="1:8" s="330" customFormat="1">
      <c r="A16" s="330">
        <f t="shared" ref="A16:A24" si="3">A3</f>
        <v>1</v>
      </c>
      <c r="B16" s="331">
        <f t="shared" ref="B16:B25" ca="1" si="4">H3</f>
        <v>16560.072752809407</v>
      </c>
      <c r="C16" s="331">
        <f>B3-B2</f>
        <v>31218.749999999971</v>
      </c>
      <c r="D16" s="335">
        <f>'Valuation output'!C38</f>
        <v>5.9472781825975138</v>
      </c>
      <c r="E16" s="331">
        <f>C16/D16</f>
        <v>5249.2499999999955</v>
      </c>
      <c r="F16" s="331">
        <f ca="1">B16-E16</f>
        <v>11310.82275280941</v>
      </c>
      <c r="G16" s="331">
        <f ca="1">G15+E16</f>
        <v>89291.948571092013</v>
      </c>
      <c r="H16" s="337">
        <f t="shared" ref="H16:H25" ca="1" si="5">B16/G16</f>
        <v>0.18545986528253094</v>
      </c>
    </row>
    <row r="17" spans="1:8" s="330" customFormat="1">
      <c r="A17" s="330">
        <f t="shared" si="3"/>
        <v>2</v>
      </c>
      <c r="B17" s="331">
        <f t="shared" ca="1" si="4"/>
        <v>21146.567856879068</v>
      </c>
      <c r="C17" s="331">
        <f t="shared" ref="C17:C25" si="6">B4-B3</f>
        <v>35901.562499999971</v>
      </c>
      <c r="D17" s="335">
        <f>'Valuation output'!D38</f>
        <v>5.9472781825975138</v>
      </c>
      <c r="E17" s="331">
        <f t="shared" ref="E17:E25" si="7">C17/D17</f>
        <v>6036.6374999999953</v>
      </c>
      <c r="F17" s="331">
        <f t="shared" ref="F17:F25" ca="1" si="8">B17-E17</f>
        <v>15109.930356879073</v>
      </c>
      <c r="G17" s="331">
        <f t="shared" ref="G17:G25" ca="1" si="9">G16+E17</f>
        <v>95328.58607109201</v>
      </c>
      <c r="H17" s="337">
        <f t="shared" ca="1" si="5"/>
        <v>0.22182819160990028</v>
      </c>
    </row>
    <row r="18" spans="1:8" s="330" customFormat="1">
      <c r="A18" s="330">
        <f t="shared" si="3"/>
        <v>3</v>
      </c>
      <c r="B18" s="331">
        <f t="shared" ca="1" si="4"/>
        <v>26736.409855231417</v>
      </c>
      <c r="C18" s="331">
        <f t="shared" si="6"/>
        <v>41286.796874999942</v>
      </c>
      <c r="D18" s="335">
        <f>'Valuation output'!E38</f>
        <v>5.9472781825975138</v>
      </c>
      <c r="E18" s="331">
        <f t="shared" si="7"/>
        <v>6942.1331249999903</v>
      </c>
      <c r="F18" s="331">
        <f t="shared" ca="1" si="8"/>
        <v>19794.276730231428</v>
      </c>
      <c r="G18" s="331">
        <f t="shared" ca="1" si="9"/>
        <v>102270.719196092</v>
      </c>
      <c r="H18" s="337">
        <f t="shared" ca="1" si="5"/>
        <v>0.26142780715140485</v>
      </c>
    </row>
    <row r="19" spans="1:8" s="330" customFormat="1">
      <c r="A19" s="330">
        <f t="shared" si="3"/>
        <v>4</v>
      </c>
      <c r="B19" s="331">
        <f t="shared" ca="1" si="4"/>
        <v>33527.406676309693</v>
      </c>
      <c r="C19" s="331">
        <f t="shared" si="6"/>
        <v>47479.816406249942</v>
      </c>
      <c r="D19" s="335">
        <f>'Valuation output'!F38</f>
        <v>5.9472781825975138</v>
      </c>
      <c r="E19" s="331">
        <f t="shared" si="7"/>
        <v>7983.4530937499903</v>
      </c>
      <c r="F19" s="331">
        <f t="shared" ca="1" si="8"/>
        <v>25543.953582559701</v>
      </c>
      <c r="G19" s="331">
        <f t="shared" ca="1" si="9"/>
        <v>110254.172289842</v>
      </c>
      <c r="H19" s="337">
        <f t="shared" ca="1" si="5"/>
        <v>0.30409195389151417</v>
      </c>
    </row>
    <row r="20" spans="1:8" s="330" customFormat="1">
      <c r="A20" s="330">
        <f t="shared" si="3"/>
        <v>5</v>
      </c>
      <c r="B20" s="331">
        <f t="shared" ca="1" si="4"/>
        <v>41754.133321968737</v>
      </c>
      <c r="C20" s="331">
        <f t="shared" si="6"/>
        <v>54601.788867187453</v>
      </c>
      <c r="D20" s="335">
        <f>'Valuation output'!G38</f>
        <v>5.9472781825975138</v>
      </c>
      <c r="E20" s="331">
        <f t="shared" si="7"/>
        <v>9180.9710578124923</v>
      </c>
      <c r="F20" s="331">
        <f t="shared" ca="1" si="8"/>
        <v>32573.162264156243</v>
      </c>
      <c r="G20" s="331">
        <f t="shared" ca="1" si="9"/>
        <v>119435.14334765449</v>
      </c>
      <c r="H20" s="337">
        <f t="shared" ca="1" si="5"/>
        <v>0.34959671124963504</v>
      </c>
    </row>
    <row r="21" spans="1:8" s="330" customFormat="1">
      <c r="A21" s="330">
        <f t="shared" si="3"/>
        <v>6</v>
      </c>
      <c r="B21" s="331">
        <f t="shared" ca="1" si="4"/>
        <v>46567.945107618099</v>
      </c>
      <c r="C21" s="331">
        <f t="shared" si="6"/>
        <v>52745.328045703063</v>
      </c>
      <c r="D21" s="335">
        <f>'Valuation output'!H38</f>
        <v>5.9472781825975138</v>
      </c>
      <c r="E21" s="331">
        <f t="shared" si="7"/>
        <v>8868.8180418468655</v>
      </c>
      <c r="F21" s="331">
        <f t="shared" ca="1" si="8"/>
        <v>37699.12706577123</v>
      </c>
      <c r="G21" s="331">
        <f t="shared" ca="1" si="9"/>
        <v>128303.96138950136</v>
      </c>
      <c r="H21" s="337">
        <f t="shared" ca="1" si="5"/>
        <v>0.36295017397201412</v>
      </c>
    </row>
    <row r="22" spans="1:8" s="330" customFormat="1">
      <c r="A22" s="330">
        <f t="shared" si="3"/>
        <v>7</v>
      </c>
      <c r="B22" s="331">
        <f t="shared" ca="1" si="4"/>
        <v>50825.051176358756</v>
      </c>
      <c r="C22" s="331">
        <f t="shared" si="6"/>
        <v>48078.622354802385</v>
      </c>
      <c r="D22" s="335">
        <f>'Valuation output'!I38</f>
        <v>5.9472781825975138</v>
      </c>
      <c r="E22" s="331">
        <f t="shared" si="7"/>
        <v>8084.1388074777633</v>
      </c>
      <c r="F22" s="331">
        <f t="shared" ca="1" si="8"/>
        <v>42740.912368880992</v>
      </c>
      <c r="G22" s="331">
        <f t="shared" ca="1" si="9"/>
        <v>136388.10019697913</v>
      </c>
      <c r="H22" s="337">
        <f t="shared" ca="1" si="5"/>
        <v>0.37265018797794269</v>
      </c>
    </row>
    <row r="23" spans="1:8" s="330" customFormat="1">
      <c r="A23" s="330">
        <f t="shared" si="3"/>
        <v>8</v>
      </c>
      <c r="B23" s="331">
        <f t="shared" ca="1" si="4"/>
        <v>54258.140537963896</v>
      </c>
      <c r="C23" s="331">
        <f t="shared" si="6"/>
        <v>40516.137873817526</v>
      </c>
      <c r="D23" s="335">
        <f>'Valuation output'!J38</f>
        <v>5.9472781825975138</v>
      </c>
      <c r="E23" s="331">
        <f t="shared" si="7"/>
        <v>6812.5513268191917</v>
      </c>
      <c r="F23" s="331">
        <f t="shared" ca="1" si="8"/>
        <v>47445.589211144703</v>
      </c>
      <c r="G23" s="331">
        <f t="shared" ca="1" si="9"/>
        <v>143200.65152379833</v>
      </c>
      <c r="H23" s="337">
        <f t="shared" ca="1" si="5"/>
        <v>0.37889590557447156</v>
      </c>
    </row>
    <row r="24" spans="1:8" s="330" customFormat="1">
      <c r="A24" s="330">
        <f t="shared" si="3"/>
        <v>9</v>
      </c>
      <c r="B24" s="331">
        <f t="shared" ca="1" si="4"/>
        <v>56628.127206834964</v>
      </c>
      <c r="C24" s="331">
        <f t="shared" si="6"/>
        <v>30237.505357829039</v>
      </c>
      <c r="D24" s="335">
        <f>'Valuation output'!K38</f>
        <v>5.9472781825975138</v>
      </c>
      <c r="E24" s="331">
        <f t="shared" si="7"/>
        <v>5084.259459446137</v>
      </c>
      <c r="F24" s="331">
        <f t="shared" ca="1" si="8"/>
        <v>51543.867747388824</v>
      </c>
      <c r="G24" s="331">
        <f t="shared" ca="1" si="9"/>
        <v>148284.91098324445</v>
      </c>
      <c r="H24" s="337">
        <f t="shared" ca="1" si="5"/>
        <v>0.38188731969656503</v>
      </c>
    </row>
    <row r="25" spans="1:8" s="330" customFormat="1">
      <c r="A25" s="330">
        <f>A12</f>
        <v>10</v>
      </c>
      <c r="B25" s="331">
        <f t="shared" ca="1" si="4"/>
        <v>57750.21951525566</v>
      </c>
      <c r="C25" s="331">
        <f t="shared" si="6"/>
        <v>17705.739248417667</v>
      </c>
      <c r="D25" s="335">
        <f>'Valuation output'!L38</f>
        <v>5.9472781825975138</v>
      </c>
      <c r="E25" s="331">
        <f t="shared" si="7"/>
        <v>2977.1163723645705</v>
      </c>
      <c r="F25" s="331">
        <f t="shared" ca="1" si="8"/>
        <v>54773.103142891086</v>
      </c>
      <c r="G25" s="331">
        <f t="shared" ca="1" si="9"/>
        <v>151262.02735560903</v>
      </c>
      <c r="H25" s="337">
        <f t="shared" ca="1" si="5"/>
        <v>0.38178927338774821</v>
      </c>
    </row>
    <row r="26" spans="1:8" s="330" customFormat="1" ht="13" thickBot="1"/>
    <row r="27" spans="1:8" s="330" customFormat="1" ht="31" thickBot="1">
      <c r="A27" s="329" t="s">
        <v>120</v>
      </c>
      <c r="B27" s="329" t="s">
        <v>478</v>
      </c>
      <c r="C27" s="329" t="s">
        <v>674</v>
      </c>
      <c r="D27" s="329" t="s">
        <v>675</v>
      </c>
      <c r="E27" s="329" t="s">
        <v>676</v>
      </c>
      <c r="F27" s="329" t="s">
        <v>677</v>
      </c>
      <c r="G27" s="329" t="s">
        <v>678</v>
      </c>
      <c r="H27" s="329" t="s">
        <v>679</v>
      </c>
    </row>
    <row r="28" spans="1:8">
      <c r="A28">
        <f>A16</f>
        <v>1</v>
      </c>
      <c r="H28" s="326">
        <f>'Valuation output'!C12</f>
        <v>7.9699999999999993E-2</v>
      </c>
    </row>
    <row r="29" spans="1:8">
      <c r="A29">
        <f t="shared" ref="A29:A37" si="10">A17</f>
        <v>2</v>
      </c>
      <c r="H29" s="326">
        <f>'Valuation output'!D12</f>
        <v>7.9699999999999993E-2</v>
      </c>
    </row>
    <row r="30" spans="1:8">
      <c r="A30">
        <f t="shared" si="10"/>
        <v>3</v>
      </c>
      <c r="H30" s="326">
        <f>'Valuation output'!E12</f>
        <v>7.9699999999999993E-2</v>
      </c>
    </row>
    <row r="31" spans="1:8">
      <c r="A31">
        <f t="shared" si="10"/>
        <v>4</v>
      </c>
      <c r="H31" s="326">
        <f>'Valuation output'!F12</f>
        <v>7.9699999999999993E-2</v>
      </c>
    </row>
    <row r="32" spans="1:8">
      <c r="A32">
        <f t="shared" si="10"/>
        <v>5</v>
      </c>
      <c r="H32" s="326">
        <f>'Valuation output'!G12</f>
        <v>7.9699999999999993E-2</v>
      </c>
    </row>
    <row r="33" spans="1:8">
      <c r="A33">
        <f t="shared" si="10"/>
        <v>6</v>
      </c>
      <c r="H33" s="326">
        <f>'Valuation output'!H12</f>
        <v>7.8759999999999997E-2</v>
      </c>
    </row>
    <row r="34" spans="1:8">
      <c r="A34">
        <f t="shared" si="10"/>
        <v>7</v>
      </c>
      <c r="H34" s="326">
        <f>'Valuation output'!I12</f>
        <v>7.782E-2</v>
      </c>
    </row>
    <row r="35" spans="1:8">
      <c r="A35">
        <f t="shared" si="10"/>
        <v>8</v>
      </c>
      <c r="H35" s="326">
        <f>'Valuation output'!J12</f>
        <v>7.6880000000000004E-2</v>
      </c>
    </row>
    <row r="36" spans="1:8">
      <c r="A36">
        <f t="shared" si="10"/>
        <v>9</v>
      </c>
      <c r="H36" s="326">
        <f>'Valuation output'!K12</f>
        <v>7.5940000000000007E-2</v>
      </c>
    </row>
    <row r="37" spans="1:8">
      <c r="A37">
        <f t="shared" si="10"/>
        <v>10</v>
      </c>
      <c r="H37" s="326">
        <f>'Valuation output'!L12</f>
        <v>7.5000000000000011E-2</v>
      </c>
    </row>
    <row r="38" spans="1:8" ht="13" thickBot="1"/>
    <row r="39" spans="1:8" ht="31" thickBot="1">
      <c r="A39" s="329" t="s">
        <v>120</v>
      </c>
      <c r="B39" s="329" t="s">
        <v>679</v>
      </c>
      <c r="C39" s="329" t="s">
        <v>682</v>
      </c>
      <c r="D39" s="329" t="s">
        <v>16</v>
      </c>
      <c r="E39" s="329" t="s">
        <v>683</v>
      </c>
      <c r="F39" s="329" t="s">
        <v>130</v>
      </c>
    </row>
    <row r="40" spans="1:8">
      <c r="A40">
        <f>A28</f>
        <v>1</v>
      </c>
      <c r="B40" s="338">
        <f>H28</f>
        <v>7.9699999999999993E-2</v>
      </c>
      <c r="C40" s="339">
        <f>(1+'Summary Sheet'!B40)</f>
        <v>1.0796999999999999</v>
      </c>
      <c r="D40" s="333">
        <f ca="1">F16</f>
        <v>11310.82275280941</v>
      </c>
      <c r="F40" s="333">
        <f ca="1">D40/C40</f>
        <v>10475.894000934901</v>
      </c>
    </row>
    <row r="41" spans="1:8">
      <c r="A41">
        <f t="shared" ref="A41:A49" si="11">A29</f>
        <v>2</v>
      </c>
      <c r="B41" s="338">
        <f t="shared" ref="B41:B49" si="12">H29</f>
        <v>7.9699999999999993E-2</v>
      </c>
      <c r="C41" s="339">
        <f>C40*(1+B41)</f>
        <v>1.1657520899999998</v>
      </c>
      <c r="D41" s="333">
        <f t="shared" ref="D41:D49" ca="1" si="13">F17</f>
        <v>15109.930356879073</v>
      </c>
      <c r="F41" s="333">
        <f t="shared" ref="F41:F48" ca="1" si="14">D41/C41</f>
        <v>12961.529716733405</v>
      </c>
    </row>
    <row r="42" spans="1:8">
      <c r="A42">
        <f t="shared" si="11"/>
        <v>3</v>
      </c>
      <c r="B42" s="338">
        <f t="shared" si="12"/>
        <v>7.9699999999999993E-2</v>
      </c>
      <c r="C42" s="339">
        <f t="shared" ref="C42:C49" si="15">C41*(1+B42)</f>
        <v>1.2586625315729996</v>
      </c>
      <c r="D42" s="333">
        <f t="shared" ca="1" si="13"/>
        <v>19794.276730231428</v>
      </c>
      <c r="F42" s="333">
        <f t="shared" ca="1" si="14"/>
        <v>15726.4367800746</v>
      </c>
    </row>
    <row r="43" spans="1:8">
      <c r="A43">
        <f t="shared" si="11"/>
        <v>4</v>
      </c>
      <c r="B43" s="338">
        <f t="shared" si="12"/>
        <v>7.9699999999999993E-2</v>
      </c>
      <c r="C43" s="339">
        <f t="shared" si="15"/>
        <v>1.3589779353393674</v>
      </c>
      <c r="D43" s="333">
        <f t="shared" ca="1" si="13"/>
        <v>25543.953582559701</v>
      </c>
      <c r="F43" s="333">
        <f t="shared" ca="1" si="14"/>
        <v>18796.444679714979</v>
      </c>
    </row>
    <row r="44" spans="1:8">
      <c r="A44">
        <f t="shared" si="11"/>
        <v>5</v>
      </c>
      <c r="B44" s="338">
        <f t="shared" si="12"/>
        <v>7.9699999999999993E-2</v>
      </c>
      <c r="C44" s="339">
        <f t="shared" si="15"/>
        <v>1.4672884767859149</v>
      </c>
      <c r="D44" s="333">
        <f t="shared" ca="1" si="13"/>
        <v>32573.162264156243</v>
      </c>
      <c r="F44" s="333">
        <f t="shared" ca="1" si="14"/>
        <v>22199.562512415778</v>
      </c>
    </row>
    <row r="45" spans="1:8">
      <c r="A45">
        <f t="shared" si="11"/>
        <v>6</v>
      </c>
      <c r="B45" s="338">
        <f t="shared" si="12"/>
        <v>7.8759999999999997E-2</v>
      </c>
      <c r="C45" s="339">
        <f t="shared" si="15"/>
        <v>1.5828521172175736</v>
      </c>
      <c r="D45" s="333">
        <f t="shared" ca="1" si="13"/>
        <v>37699.12706577123</v>
      </c>
      <c r="F45" s="333">
        <f t="shared" ca="1" si="14"/>
        <v>23817.213658620793</v>
      </c>
    </row>
    <row r="46" spans="1:8">
      <c r="A46">
        <f t="shared" si="11"/>
        <v>7</v>
      </c>
      <c r="B46" s="338">
        <f t="shared" si="12"/>
        <v>7.782E-2</v>
      </c>
      <c r="C46" s="339">
        <f t="shared" si="15"/>
        <v>1.7060296689794452</v>
      </c>
      <c r="D46" s="333">
        <f t="shared" ca="1" si="13"/>
        <v>42740.912368880992</v>
      </c>
      <c r="F46" s="333">
        <f t="shared" ca="1" si="14"/>
        <v>25052.854089254382</v>
      </c>
    </row>
    <row r="47" spans="1:8">
      <c r="A47">
        <f t="shared" si="11"/>
        <v>8</v>
      </c>
      <c r="B47" s="338">
        <f t="shared" si="12"/>
        <v>7.6880000000000004E-2</v>
      </c>
      <c r="C47" s="339">
        <f t="shared" si="15"/>
        <v>1.837189229930585</v>
      </c>
      <c r="D47" s="333">
        <f t="shared" ca="1" si="13"/>
        <v>47445.589211144703</v>
      </c>
      <c r="F47" s="333">
        <f t="shared" ca="1" si="14"/>
        <v>25825.09653234651</v>
      </c>
    </row>
    <row r="48" spans="1:8">
      <c r="A48">
        <f t="shared" si="11"/>
        <v>9</v>
      </c>
      <c r="B48" s="338">
        <f t="shared" si="12"/>
        <v>7.5940000000000007E-2</v>
      </c>
      <c r="C48" s="339">
        <f t="shared" si="15"/>
        <v>1.9767053800515137</v>
      </c>
      <c r="D48" s="333">
        <f t="shared" ca="1" si="13"/>
        <v>51543.867747388824</v>
      </c>
      <c r="F48" s="333">
        <f t="shared" ca="1" si="14"/>
        <v>26075.644993714526</v>
      </c>
    </row>
    <row r="49" spans="1:6">
      <c r="A49">
        <f t="shared" si="11"/>
        <v>10</v>
      </c>
      <c r="B49" s="338">
        <f t="shared" si="12"/>
        <v>7.5000000000000011E-2</v>
      </c>
      <c r="C49" s="339">
        <f t="shared" si="15"/>
        <v>2.1249582835553773</v>
      </c>
      <c r="D49" s="333">
        <f t="shared" ca="1" si="13"/>
        <v>54773.103142891086</v>
      </c>
      <c r="E49" s="333">
        <f>'Valuation output'!B18</f>
        <v>925286.85045554081</v>
      </c>
      <c r="F49" s="333">
        <f ca="1">(D49+E49)/C49</f>
        <v>461213.73825684853</v>
      </c>
    </row>
    <row r="50" spans="1:6">
      <c r="A50" t="s">
        <v>44</v>
      </c>
      <c r="F50" s="333">
        <f ca="1">SUM(F40:F49)</f>
        <v>642144.41522065841</v>
      </c>
    </row>
  </sheetData>
  <pageMargins left="0.75" right="0.75" top="1" bottom="1" header="0.3" footer="0.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workbookViewId="0">
      <selection activeCell="C15" sqref="C15"/>
    </sheetView>
  </sheetViews>
  <sheetFormatPr baseColWidth="10" defaultColWidth="11.5" defaultRowHeight="12"/>
  <sheetData>
    <row r="1" spans="1:7" s="7" customFormat="1" ht="19">
      <c r="A1" s="6" t="s">
        <v>62</v>
      </c>
      <c r="B1" s="6"/>
    </row>
    <row r="2" spans="1:7" ht="14">
      <c r="A2" s="8" t="s">
        <v>63</v>
      </c>
      <c r="B2" s="8"/>
      <c r="D2" s="28">
        <f>'Input sheet'!B19</f>
        <v>1970.19</v>
      </c>
    </row>
    <row r="3" spans="1:7" ht="14">
      <c r="A3" s="8" t="s">
        <v>64</v>
      </c>
      <c r="B3" s="8"/>
      <c r="D3" s="9">
        <f>'Input sheet'!B33</f>
        <v>61.13</v>
      </c>
    </row>
    <row r="4" spans="1:7" ht="14">
      <c r="A4" s="8" t="s">
        <v>65</v>
      </c>
      <c r="B4" s="8"/>
      <c r="D4" s="12">
        <f>'Input sheet'!B34</f>
        <v>5.97</v>
      </c>
    </row>
    <row r="5" spans="1:7" ht="14">
      <c r="A5" s="8" t="s">
        <v>66</v>
      </c>
      <c r="B5" s="8"/>
      <c r="D5" s="10">
        <f>'Input sheet'!B35</f>
        <v>0.3</v>
      </c>
      <c r="E5" s="8" t="s">
        <v>67</v>
      </c>
    </row>
    <row r="6" spans="1:7" ht="14">
      <c r="A6" s="8" t="s">
        <v>68</v>
      </c>
      <c r="B6" s="8"/>
      <c r="D6" s="11">
        <v>0</v>
      </c>
    </row>
    <row r="7" spans="1:7" ht="14">
      <c r="A7" s="8" t="s">
        <v>69</v>
      </c>
      <c r="B7" s="8"/>
      <c r="D7" s="11">
        <f>'Input sheet'!B28</f>
        <v>0.03</v>
      </c>
    </row>
    <row r="8" spans="1:7" ht="14">
      <c r="A8" s="8" t="s">
        <v>70</v>
      </c>
      <c r="B8" s="8"/>
      <c r="D8" s="12">
        <f>'Input sheet'!B32</f>
        <v>21.65</v>
      </c>
    </row>
    <row r="9" spans="1:7" ht="14">
      <c r="A9" s="8" t="s">
        <v>71</v>
      </c>
      <c r="B9" s="8"/>
      <c r="D9" s="13">
        <f>'Input sheet'!B18</f>
        <v>497</v>
      </c>
    </row>
    <row r="10" spans="1:7" ht="14">
      <c r="A10" s="8"/>
      <c r="B10" s="8"/>
    </row>
    <row r="11" spans="1:7" s="16" customFormat="1" ht="14">
      <c r="A11" s="14" t="s">
        <v>72</v>
      </c>
      <c r="B11" s="15"/>
    </row>
    <row r="12" spans="1:7" s="8" customFormat="1" ht="14">
      <c r="A12" s="17" t="s">
        <v>73</v>
      </c>
    </row>
    <row r="13" spans="1:7" s="8" customFormat="1" ht="14">
      <c r="A13" s="8" t="s">
        <v>74</v>
      </c>
      <c r="C13" s="18">
        <f>D2</f>
        <v>1970.19</v>
      </c>
      <c r="D13" s="8" t="s">
        <v>75</v>
      </c>
      <c r="F13" s="19">
        <f>D8</f>
        <v>21.65</v>
      </c>
      <c r="G13" s="20"/>
    </row>
    <row r="14" spans="1:7" s="8" customFormat="1" ht="14">
      <c r="A14" s="8" t="s">
        <v>76</v>
      </c>
      <c r="C14" s="18">
        <f>D3</f>
        <v>61.13</v>
      </c>
      <c r="D14" s="8" t="s">
        <v>77</v>
      </c>
      <c r="F14" s="21">
        <f>D9</f>
        <v>497</v>
      </c>
      <c r="G14" s="20"/>
    </row>
    <row r="15" spans="1:7" s="8" customFormat="1" ht="14">
      <c r="A15" s="8" t="s">
        <v>78</v>
      </c>
      <c r="C15" s="18">
        <f ca="1">(C13*F14+C26*F13)/(F14+F13)</f>
        <v>1967.9637514170458</v>
      </c>
      <c r="D15" s="8" t="s">
        <v>79</v>
      </c>
      <c r="F15" s="22">
        <f>D7</f>
        <v>0.03</v>
      </c>
    </row>
    <row r="16" spans="1:7" s="8" customFormat="1" ht="14">
      <c r="A16" s="8" t="s">
        <v>80</v>
      </c>
      <c r="C16" s="18">
        <f>C14</f>
        <v>61.13</v>
      </c>
      <c r="D16" s="8" t="s">
        <v>81</v>
      </c>
      <c r="F16" s="23">
        <f>D5^2</f>
        <v>0.09</v>
      </c>
    </row>
    <row r="17" spans="1:7" s="8" customFormat="1" ht="14">
      <c r="A17" s="8" t="s">
        <v>82</v>
      </c>
      <c r="C17" s="18">
        <f>D4</f>
        <v>5.97</v>
      </c>
      <c r="D17" s="8" t="s">
        <v>83</v>
      </c>
      <c r="F17" s="22">
        <f>D6</f>
        <v>0</v>
      </c>
    </row>
    <row r="18" spans="1:7" s="8" customFormat="1" ht="14">
      <c r="C18" s="17"/>
      <c r="D18" s="8" t="s">
        <v>84</v>
      </c>
      <c r="F18" s="24">
        <f>F15-F17</f>
        <v>0.03</v>
      </c>
    </row>
    <row r="19" spans="1:7" s="8" customFormat="1" ht="14"/>
    <row r="20" spans="1:7" s="8" customFormat="1" ht="14">
      <c r="A20" s="8" t="s">
        <v>85</v>
      </c>
      <c r="B20" s="19">
        <f ca="1">(LN(C15/C16)+(F18+(F16/2))*C17)/(((F16)^(0.5))*(C17^0.5))</f>
        <v>5.3471511497149331</v>
      </c>
    </row>
    <row r="21" spans="1:7" s="8" customFormat="1" ht="14">
      <c r="A21" s="8" t="s">
        <v>86</v>
      </c>
      <c r="B21" s="19">
        <f ca="1">NORMSDIST(B20)</f>
        <v>0.99999995532530084</v>
      </c>
    </row>
    <row r="22" spans="1:7" s="8" customFormat="1" ht="14"/>
    <row r="23" spans="1:7" s="8" customFormat="1" ht="15.75" customHeight="1">
      <c r="A23" s="8" t="s">
        <v>87</v>
      </c>
      <c r="B23" s="19">
        <f ca="1">B20-((F16^0.5)*(C17^(0.5)))</f>
        <v>4.6141436463426961</v>
      </c>
    </row>
    <row r="24" spans="1:7" s="8" customFormat="1" ht="14">
      <c r="A24" s="8" t="s">
        <v>88</v>
      </c>
      <c r="B24" s="19">
        <f ca="1">NORMSDIST(B23)</f>
        <v>0.99999802640314162</v>
      </c>
    </row>
    <row r="25" spans="1:7" ht="15" thickBot="1">
      <c r="A25" s="8"/>
      <c r="B25" s="8"/>
    </row>
    <row r="26" spans="1:7" s="8" customFormat="1" ht="15" thickBot="1">
      <c r="A26" s="8" t="s">
        <v>89</v>
      </c>
      <c r="C26" s="25">
        <f ca="1">((EXP((0-F17)*C17))*C15*B21-C16*(EXP((0-F15)*C17))*B24)</f>
        <v>1916.8577215912578</v>
      </c>
      <c r="G26" s="26"/>
    </row>
    <row r="27" spans="1:7" s="8" customFormat="1" ht="15" thickBot="1">
      <c r="A27" s="8" t="s">
        <v>90</v>
      </c>
      <c r="D27" s="27">
        <f ca="1">C26*D8</f>
        <v>41499.96967245073</v>
      </c>
    </row>
  </sheetData>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6"/>
  <sheetViews>
    <sheetView zoomScale="125" zoomScaleNormal="125" workbookViewId="0">
      <selection activeCell="B10" sqref="B10:C10"/>
    </sheetView>
  </sheetViews>
  <sheetFormatPr baseColWidth="10" defaultColWidth="10.83203125" defaultRowHeight="16"/>
  <cols>
    <col min="1" max="1" width="61.6640625" style="5" customWidth="1"/>
    <col min="2" max="2" width="43.83203125" style="5" customWidth="1"/>
    <col min="3" max="3" width="68" style="5" bestFit="1" customWidth="1"/>
    <col min="4" max="16384" width="10.83203125" style="5"/>
  </cols>
  <sheetData>
    <row r="1" spans="1:4" s="143" customFormat="1" ht="13">
      <c r="A1" s="145" t="s">
        <v>97</v>
      </c>
      <c r="B1" s="146"/>
    </row>
    <row r="2" spans="1:4" s="143" customFormat="1" ht="13">
      <c r="A2" s="146" t="s">
        <v>7</v>
      </c>
      <c r="B2" s="147">
        <f ca="1">'Valuation output'!B39</f>
        <v>84042.698571092013</v>
      </c>
    </row>
    <row r="3" spans="1:4" s="143" customFormat="1" ht="13">
      <c r="A3" s="146" t="s">
        <v>8</v>
      </c>
      <c r="B3" s="147">
        <f ca="1">'Valuation output'!L39</f>
        <v>151262.02735560903</v>
      </c>
    </row>
    <row r="4" spans="1:4" s="143" customFormat="1" ht="13">
      <c r="A4" s="146" t="s">
        <v>9</v>
      </c>
      <c r="B4" s="147">
        <f ca="1">B3-B2</f>
        <v>67219.328784517013</v>
      </c>
    </row>
    <row r="5" spans="1:4" s="143" customFormat="1" ht="13">
      <c r="A5" s="146" t="s">
        <v>10</v>
      </c>
      <c r="B5" s="147">
        <f ca="1">'Valuation output'!L5-'Valuation output'!B5</f>
        <v>59933.150798235074</v>
      </c>
    </row>
    <row r="6" spans="1:4" s="143" customFormat="1" ht="13">
      <c r="A6" s="146" t="s">
        <v>4</v>
      </c>
      <c r="B6" s="148">
        <f ca="1">B5/B4</f>
        <v>0.8916059098174125</v>
      </c>
    </row>
    <row r="7" spans="1:4" s="143" customFormat="1" ht="13">
      <c r="A7" s="146" t="s">
        <v>5</v>
      </c>
      <c r="B7" s="148">
        <f ca="1">'Valuation output'!L40</f>
        <v>0.38178927338774821</v>
      </c>
    </row>
    <row r="8" spans="1:4" s="143" customFormat="1" ht="13">
      <c r="A8" s="146" t="s">
        <v>240</v>
      </c>
      <c r="B8" s="148">
        <f>(1/'Valuation output'!L13)^(1/10)-1</f>
        <v>7.8288667326763539E-2</v>
      </c>
    </row>
    <row r="9" spans="1:4" s="143" customFormat="1" ht="14" thickBot="1">
      <c r="A9" s="149" t="s">
        <v>28</v>
      </c>
      <c r="B9" s="150">
        <f ca="1">'Valuation output'!B33/'Valuation output'!B34</f>
        <v>0.63701913300394952</v>
      </c>
    </row>
    <row r="10" spans="1:4" s="143" customFormat="1" ht="14" thickBot="1">
      <c r="A10" s="151"/>
      <c r="B10" s="464" t="str">
        <f ca="1">IF(B9="NA","Value is negative. See below",IF(B9&gt;2,"Value seems high. See below",IF(B9&lt;0.5,"Value seems low. See below"," ")))</f>
        <v xml:space="preserve"> </v>
      </c>
      <c r="C10" s="465"/>
    </row>
    <row r="11" spans="1:4" s="8" customFormat="1" ht="15">
      <c r="A11" s="210" t="s">
        <v>6</v>
      </c>
      <c r="B11" s="211" t="s">
        <v>0</v>
      </c>
      <c r="C11" s="212" t="s">
        <v>1</v>
      </c>
    </row>
    <row r="12" spans="1:4" s="8" customFormat="1" ht="15">
      <c r="A12" s="221" t="s">
        <v>154</v>
      </c>
      <c r="B12" s="213" t="s">
        <v>2</v>
      </c>
      <c r="C12" s="214" t="s">
        <v>3</v>
      </c>
    </row>
    <row r="13" spans="1:4" s="8" customFormat="1" ht="15">
      <c r="A13" s="221" t="s">
        <v>155</v>
      </c>
      <c r="B13" s="215" t="s">
        <v>152</v>
      </c>
      <c r="C13" s="216" t="s">
        <v>153</v>
      </c>
      <c r="D13" s="8" t="s">
        <v>159</v>
      </c>
    </row>
    <row r="14" spans="1:4" s="8" customFormat="1" ht="14">
      <c r="A14" s="222" t="s">
        <v>156</v>
      </c>
      <c r="B14" s="217" t="s">
        <v>150</v>
      </c>
      <c r="C14" s="218" t="s">
        <v>151</v>
      </c>
      <c r="D14" s="8" t="s">
        <v>159</v>
      </c>
    </row>
    <row r="15" spans="1:4" s="8" customFormat="1" ht="15" thickBot="1">
      <c r="A15" s="223" t="s">
        <v>161</v>
      </c>
      <c r="B15" s="219" t="s">
        <v>157</v>
      </c>
      <c r="C15" s="220" t="s">
        <v>158</v>
      </c>
      <c r="D15" s="8" t="s">
        <v>160</v>
      </c>
    </row>
    <row r="16" spans="1:4">
      <c r="B16" s="79"/>
    </row>
  </sheetData>
  <mergeCells count="1">
    <mergeCell ref="B10:C10"/>
  </mergeCells>
  <phoneticPr fontId="6"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40"/>
  <sheetViews>
    <sheetView workbookViewId="0">
      <selection activeCell="B12" sqref="B12"/>
    </sheetView>
  </sheetViews>
  <sheetFormatPr baseColWidth="10" defaultColWidth="11.5" defaultRowHeight="12"/>
  <sheetData>
    <row r="1" spans="1:10" s="6" customFormat="1" ht="19">
      <c r="A1" s="29" t="s">
        <v>406</v>
      </c>
      <c r="B1" s="29"/>
      <c r="C1" s="29"/>
      <c r="D1" s="29"/>
      <c r="E1" s="29"/>
      <c r="F1" s="29"/>
      <c r="G1" s="29"/>
      <c r="H1" s="29"/>
      <c r="I1" s="29"/>
      <c r="J1" s="29"/>
    </row>
    <row r="2" spans="1:10" s="8" customFormat="1" ht="14">
      <c r="A2" s="8" t="s">
        <v>407</v>
      </c>
    </row>
    <row r="3" spans="1:10" s="8" customFormat="1" ht="14">
      <c r="A3" s="8" t="s">
        <v>408</v>
      </c>
    </row>
    <row r="4" spans="1:10" s="8" customFormat="1" ht="14"/>
    <row r="5" spans="1:10" s="8" customFormat="1" ht="14">
      <c r="A5" s="17" t="s">
        <v>6</v>
      </c>
    </row>
    <row r="6" spans="1:10" s="8" customFormat="1" ht="14">
      <c r="A6" s="8" t="s">
        <v>409</v>
      </c>
      <c r="F6" s="131">
        <v>2</v>
      </c>
      <c r="G6" s="8" t="s">
        <v>410</v>
      </c>
    </row>
    <row r="7" spans="1:10" s="8" customFormat="1" ht="14">
      <c r="A7" s="8" t="s">
        <v>411</v>
      </c>
      <c r="F7" s="33">
        <v>22620</v>
      </c>
      <c r="G7" s="8" t="s">
        <v>412</v>
      </c>
    </row>
    <row r="8" spans="1:10" s="8" customFormat="1" ht="14">
      <c r="A8" s="8" t="s">
        <v>413</v>
      </c>
    </row>
    <row r="9" spans="1:10" s="8" customFormat="1" ht="14">
      <c r="A9" s="8" t="s">
        <v>414</v>
      </c>
    </row>
    <row r="10" spans="1:10" s="185" customFormat="1" ht="14">
      <c r="A10" s="183" t="s">
        <v>120</v>
      </c>
      <c r="B10" s="183" t="s">
        <v>415</v>
      </c>
      <c r="C10" s="184"/>
      <c r="D10" s="184"/>
      <c r="E10" s="184"/>
      <c r="F10" s="184"/>
      <c r="G10" s="184"/>
      <c r="H10" s="184"/>
      <c r="I10" s="184"/>
    </row>
    <row r="11" spans="1:10" s="185" customFormat="1" ht="14">
      <c r="A11" s="186">
        <v>-1</v>
      </c>
      <c r="B11" s="187">
        <v>16085</v>
      </c>
      <c r="C11" s="184" t="s">
        <v>416</v>
      </c>
      <c r="D11" s="184"/>
      <c r="E11" s="184"/>
      <c r="F11" s="184"/>
      <c r="G11" s="184"/>
      <c r="H11" s="184"/>
      <c r="I11" s="184"/>
    </row>
    <row r="12" spans="1:10" s="185" customFormat="1" ht="14">
      <c r="A12" s="186">
        <f>IF((0-A11)&lt;$F$6,IF(A11&gt;-1,,A11-1),)</f>
        <v>-2</v>
      </c>
      <c r="B12" s="187">
        <v>12540</v>
      </c>
      <c r="C12" s="184" t="s">
        <v>417</v>
      </c>
      <c r="D12" s="184"/>
      <c r="E12" s="184"/>
      <c r="F12" s="184"/>
      <c r="G12" s="184"/>
      <c r="H12" s="184"/>
      <c r="I12" s="184"/>
    </row>
    <row r="13" spans="1:10" s="185" customFormat="1" ht="14">
      <c r="A13" s="186">
        <f t="shared" ref="A13:A20" si="0">IF((0-A12)&lt;$F$6,IF(A12&gt;-1,,A12-1),)</f>
        <v>0</v>
      </c>
      <c r="B13" s="187"/>
      <c r="C13" s="184"/>
      <c r="D13" s="184"/>
      <c r="E13" s="184"/>
      <c r="F13" s="184"/>
      <c r="G13" s="184"/>
      <c r="H13" s="184"/>
      <c r="I13" s="184"/>
    </row>
    <row r="14" spans="1:10" s="185" customFormat="1" ht="14">
      <c r="A14" s="186">
        <f t="shared" si="0"/>
        <v>0</v>
      </c>
      <c r="B14" s="187"/>
      <c r="C14" s="184"/>
      <c r="D14" s="184"/>
      <c r="E14" s="184"/>
      <c r="F14" s="184"/>
      <c r="G14" s="184"/>
      <c r="H14" s="184"/>
      <c r="I14" s="184"/>
    </row>
    <row r="15" spans="1:10" s="185" customFormat="1" ht="14">
      <c r="A15" s="186">
        <f t="shared" si="0"/>
        <v>0</v>
      </c>
      <c r="B15" s="187"/>
      <c r="C15" s="184"/>
      <c r="D15" s="184"/>
      <c r="E15" s="184"/>
      <c r="F15" s="184"/>
      <c r="G15" s="184"/>
      <c r="H15" s="184"/>
      <c r="I15" s="184"/>
    </row>
    <row r="16" spans="1:10" s="185" customFormat="1" ht="14">
      <c r="A16" s="186">
        <f t="shared" si="0"/>
        <v>0</v>
      </c>
      <c r="B16" s="187"/>
      <c r="C16" s="184"/>
      <c r="D16" s="184"/>
      <c r="E16" s="184"/>
      <c r="F16" s="184"/>
      <c r="G16" s="184"/>
      <c r="H16" s="184"/>
      <c r="I16" s="184"/>
    </row>
    <row r="17" spans="1:9" s="185" customFormat="1" ht="14">
      <c r="A17" s="186">
        <f t="shared" si="0"/>
        <v>0</v>
      </c>
      <c r="B17" s="187"/>
      <c r="C17" s="184"/>
      <c r="D17" s="184"/>
      <c r="E17" s="184"/>
      <c r="F17" s="184"/>
      <c r="G17" s="184"/>
      <c r="H17" s="184"/>
      <c r="I17" s="184"/>
    </row>
    <row r="18" spans="1:9" s="185" customFormat="1" ht="14">
      <c r="A18" s="186">
        <f t="shared" si="0"/>
        <v>0</v>
      </c>
      <c r="B18" s="187"/>
      <c r="C18" s="184"/>
      <c r="D18" s="184"/>
      <c r="E18" s="184"/>
      <c r="F18" s="184"/>
      <c r="G18" s="184"/>
      <c r="H18" s="184"/>
      <c r="I18" s="184"/>
    </row>
    <row r="19" spans="1:9" s="185" customFormat="1" ht="14">
      <c r="A19" s="186">
        <f t="shared" si="0"/>
        <v>0</v>
      </c>
      <c r="B19" s="187"/>
      <c r="C19" s="184"/>
      <c r="D19" s="184"/>
      <c r="E19" s="184"/>
      <c r="F19" s="184"/>
      <c r="G19" s="184"/>
      <c r="H19" s="184"/>
      <c r="I19" s="184"/>
    </row>
    <row r="20" spans="1:9" s="185" customFormat="1" ht="14">
      <c r="A20" s="186">
        <f t="shared" si="0"/>
        <v>0</v>
      </c>
      <c r="B20" s="187"/>
      <c r="C20" s="184"/>
      <c r="D20" s="184"/>
      <c r="E20" s="184"/>
      <c r="F20" s="184"/>
      <c r="G20" s="184"/>
      <c r="H20" s="184"/>
      <c r="I20" s="184"/>
    </row>
    <row r="21" spans="1:9" s="185" customFormat="1" ht="14">
      <c r="A21" s="184"/>
      <c r="B21" s="184"/>
      <c r="C21" s="184"/>
      <c r="D21" s="184"/>
      <c r="E21" s="184"/>
      <c r="F21" s="184"/>
      <c r="G21" s="184"/>
      <c r="H21" s="184"/>
      <c r="I21" s="184"/>
    </row>
    <row r="22" spans="1:9" s="185" customFormat="1" ht="14">
      <c r="A22" s="188" t="s">
        <v>124</v>
      </c>
      <c r="B22" s="184"/>
      <c r="C22" s="184"/>
      <c r="D22" s="184"/>
      <c r="E22" s="184"/>
      <c r="F22" s="184"/>
      <c r="G22" s="184"/>
      <c r="H22" s="184"/>
      <c r="I22" s="184"/>
    </row>
    <row r="23" spans="1:9" s="185" customFormat="1" ht="14">
      <c r="A23" s="183" t="s">
        <v>120</v>
      </c>
      <c r="B23" s="183" t="s">
        <v>418</v>
      </c>
      <c r="C23" s="189" t="s">
        <v>419</v>
      </c>
      <c r="D23" s="190"/>
      <c r="E23" s="184" t="s">
        <v>420</v>
      </c>
      <c r="F23" s="184"/>
      <c r="G23" s="184"/>
      <c r="H23" s="184"/>
      <c r="I23" s="184"/>
    </row>
    <row r="24" spans="1:9" s="185" customFormat="1" ht="14">
      <c r="A24" s="183" t="s">
        <v>421</v>
      </c>
      <c r="B24" s="183">
        <f>F7</f>
        <v>22620</v>
      </c>
      <c r="C24" s="183">
        <f>1</f>
        <v>1</v>
      </c>
      <c r="D24" s="183">
        <f>B24*C24</f>
        <v>22620</v>
      </c>
      <c r="E24" s="184"/>
      <c r="F24" s="184"/>
      <c r="G24" s="184"/>
      <c r="H24" s="184"/>
      <c r="I24" s="184"/>
    </row>
    <row r="25" spans="1:9" s="185" customFormat="1" ht="14">
      <c r="A25" s="186">
        <f>A11</f>
        <v>-1</v>
      </c>
      <c r="B25" s="183">
        <f>B11</f>
        <v>16085</v>
      </c>
      <c r="C25" s="183">
        <f>IF(A25&lt;0,($F$6+A25)/$F$6,0)</f>
        <v>0.5</v>
      </c>
      <c r="D25" s="183">
        <f>B25*C25</f>
        <v>8042.5</v>
      </c>
      <c r="E25" s="191">
        <f t="shared" ref="E25:E34" si="1">IF(A25&lt;0,B25/$F$6,0)</f>
        <v>8042.5</v>
      </c>
      <c r="F25" s="184"/>
      <c r="G25" s="184"/>
      <c r="H25" s="184"/>
      <c r="I25" s="184"/>
    </row>
    <row r="26" spans="1:9" s="185" customFormat="1" ht="14">
      <c r="A26" s="186">
        <f t="shared" ref="A26:B34" si="2">A12</f>
        <v>-2</v>
      </c>
      <c r="B26" s="183">
        <f t="shared" si="2"/>
        <v>12540</v>
      </c>
      <c r="C26" s="183">
        <f>IF(A26&lt;0,($F$6+A26)/$F$6,0)</f>
        <v>0</v>
      </c>
      <c r="D26" s="183">
        <f t="shared" ref="D26:D34" si="3">B26*C26</f>
        <v>0</v>
      </c>
      <c r="E26" s="191">
        <f t="shared" si="1"/>
        <v>6270</v>
      </c>
      <c r="F26" s="184"/>
      <c r="G26" s="184"/>
      <c r="H26" s="184"/>
      <c r="I26" s="184"/>
    </row>
    <row r="27" spans="1:9" s="185" customFormat="1" ht="14">
      <c r="A27" s="186">
        <f t="shared" si="2"/>
        <v>0</v>
      </c>
      <c r="B27" s="183">
        <f t="shared" si="2"/>
        <v>0</v>
      </c>
      <c r="C27" s="183">
        <f>IF(A27&lt;0,($F$6+A27)/$F$6,0)</f>
        <v>0</v>
      </c>
      <c r="D27" s="183">
        <f t="shared" si="3"/>
        <v>0</v>
      </c>
      <c r="E27" s="191">
        <f t="shared" si="1"/>
        <v>0</v>
      </c>
      <c r="F27" s="184"/>
      <c r="G27" s="184"/>
      <c r="H27" s="184"/>
      <c r="I27" s="184"/>
    </row>
    <row r="28" spans="1:9" s="185" customFormat="1" ht="14">
      <c r="A28" s="186">
        <f t="shared" si="2"/>
        <v>0</v>
      </c>
      <c r="B28" s="183">
        <f t="shared" si="2"/>
        <v>0</v>
      </c>
      <c r="C28" s="183">
        <f t="shared" ref="C28:C34" si="4">IF(A28&lt;0,($F$6+A28)/$F$6,0)</f>
        <v>0</v>
      </c>
      <c r="D28" s="183">
        <f t="shared" si="3"/>
        <v>0</v>
      </c>
      <c r="E28" s="191">
        <f t="shared" si="1"/>
        <v>0</v>
      </c>
      <c r="F28" s="184"/>
      <c r="G28" s="184"/>
      <c r="H28" s="184"/>
      <c r="I28" s="184"/>
    </row>
    <row r="29" spans="1:9" s="185" customFormat="1" ht="14">
      <c r="A29" s="186">
        <f t="shared" si="2"/>
        <v>0</v>
      </c>
      <c r="B29" s="183">
        <f t="shared" si="2"/>
        <v>0</v>
      </c>
      <c r="C29" s="183">
        <f t="shared" si="4"/>
        <v>0</v>
      </c>
      <c r="D29" s="183">
        <f t="shared" si="3"/>
        <v>0</v>
      </c>
      <c r="E29" s="191">
        <f t="shared" si="1"/>
        <v>0</v>
      </c>
      <c r="F29" s="184"/>
      <c r="G29" s="184"/>
      <c r="H29" s="184"/>
      <c r="I29" s="184"/>
    </row>
    <row r="30" spans="1:9" s="185" customFormat="1" ht="14">
      <c r="A30" s="186">
        <f t="shared" si="2"/>
        <v>0</v>
      </c>
      <c r="B30" s="183">
        <f t="shared" si="2"/>
        <v>0</v>
      </c>
      <c r="C30" s="183">
        <f t="shared" si="4"/>
        <v>0</v>
      </c>
      <c r="D30" s="183">
        <f t="shared" si="3"/>
        <v>0</v>
      </c>
      <c r="E30" s="191">
        <f t="shared" si="1"/>
        <v>0</v>
      </c>
      <c r="F30" s="184"/>
      <c r="G30" s="184"/>
      <c r="H30" s="184"/>
      <c r="I30" s="184"/>
    </row>
    <row r="31" spans="1:9" s="185" customFormat="1" ht="14">
      <c r="A31" s="186">
        <f t="shared" si="2"/>
        <v>0</v>
      </c>
      <c r="B31" s="183">
        <f t="shared" si="2"/>
        <v>0</v>
      </c>
      <c r="C31" s="183">
        <f t="shared" si="4"/>
        <v>0</v>
      </c>
      <c r="D31" s="183">
        <f t="shared" si="3"/>
        <v>0</v>
      </c>
      <c r="E31" s="191">
        <f t="shared" si="1"/>
        <v>0</v>
      </c>
      <c r="F31" s="184"/>
      <c r="G31" s="184"/>
      <c r="H31" s="184"/>
      <c r="I31" s="184"/>
    </row>
    <row r="32" spans="1:9" s="185" customFormat="1" ht="14">
      <c r="A32" s="186">
        <f t="shared" si="2"/>
        <v>0</v>
      </c>
      <c r="B32" s="183">
        <f t="shared" si="2"/>
        <v>0</v>
      </c>
      <c r="C32" s="183">
        <f t="shared" si="4"/>
        <v>0</v>
      </c>
      <c r="D32" s="183">
        <f t="shared" si="3"/>
        <v>0</v>
      </c>
      <c r="E32" s="191">
        <f t="shared" si="1"/>
        <v>0</v>
      </c>
      <c r="F32" s="184"/>
      <c r="G32" s="184"/>
      <c r="H32" s="184"/>
      <c r="I32" s="184"/>
    </row>
    <row r="33" spans="1:9" s="185" customFormat="1" ht="14">
      <c r="A33" s="186">
        <f t="shared" si="2"/>
        <v>0</v>
      </c>
      <c r="B33" s="183">
        <f t="shared" si="2"/>
        <v>0</v>
      </c>
      <c r="C33" s="183">
        <f t="shared" si="4"/>
        <v>0</v>
      </c>
      <c r="D33" s="183">
        <f t="shared" si="3"/>
        <v>0</v>
      </c>
      <c r="E33" s="191">
        <f t="shared" si="1"/>
        <v>0</v>
      </c>
      <c r="F33" s="184"/>
      <c r="G33" s="184"/>
      <c r="H33" s="184"/>
      <c r="I33" s="184"/>
    </row>
    <row r="34" spans="1:9" s="185" customFormat="1" ht="16" customHeight="1" thickBot="1">
      <c r="A34" s="186">
        <f t="shared" si="2"/>
        <v>0</v>
      </c>
      <c r="B34" s="183">
        <f t="shared" si="2"/>
        <v>0</v>
      </c>
      <c r="C34" s="183">
        <f t="shared" si="4"/>
        <v>0</v>
      </c>
      <c r="D34" s="192">
        <f t="shared" si="3"/>
        <v>0</v>
      </c>
      <c r="E34" s="193">
        <f t="shared" si="1"/>
        <v>0</v>
      </c>
      <c r="F34" s="184"/>
      <c r="G34" s="184"/>
      <c r="H34" s="184"/>
      <c r="I34" s="184"/>
    </row>
    <row r="35" spans="1:9" s="8" customFormat="1" ht="15" thickBot="1">
      <c r="A35" s="8" t="s">
        <v>422</v>
      </c>
      <c r="D35" s="194">
        <f>SUM(D24:D34)</f>
        <v>30662.5</v>
      </c>
      <c r="E35" s="25">
        <f>SUM(E25:E34)</f>
        <v>14312.5</v>
      </c>
    </row>
    <row r="36" spans="1:9" ht="13" thickBot="1"/>
    <row r="37" spans="1:9" s="8" customFormat="1" ht="15" thickBot="1">
      <c r="A37" s="8" t="s">
        <v>423</v>
      </c>
      <c r="D37" s="194">
        <f>E35</f>
        <v>14312.5</v>
      </c>
    </row>
    <row r="38" spans="1:9" s="8" customFormat="1" ht="15" thickBot="1"/>
    <row r="39" spans="1:9" s="8" customFormat="1" ht="14">
      <c r="A39" s="8" t="s">
        <v>424</v>
      </c>
      <c r="D39" s="195">
        <f>F7-D37</f>
        <v>8307.5</v>
      </c>
      <c r="E39" s="8" t="s">
        <v>425</v>
      </c>
    </row>
    <row r="40" spans="1:9" ht="14">
      <c r="A40" t="s">
        <v>426</v>
      </c>
      <c r="D40" s="196">
        <f>D39*'Input sheet'!B21</f>
        <v>1993.8</v>
      </c>
      <c r="E40" s="8"/>
    </row>
  </sheetData>
  <conditionalFormatting sqref="B11:B20">
    <cfRule type="cellIs" dxfId="0" priority="1" stopIfTrue="1" operator="equal">
      <formula>0</formula>
    </cfRule>
  </conditionalFormatting>
  <pageMargins left="0.75" right="0.75" top="1" bottom="1" header="0.5" footer="0.5"/>
  <headerFooter alignWithMargins="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34"/>
  <sheetViews>
    <sheetView zoomScale="125" zoomScaleNormal="125" workbookViewId="0">
      <selection activeCell="B8" sqref="B8"/>
    </sheetView>
  </sheetViews>
  <sheetFormatPr baseColWidth="10" defaultColWidth="11.5" defaultRowHeight="12"/>
  <sheetData>
    <row r="1" spans="1:11" s="6" customFormat="1" ht="19">
      <c r="A1" s="29" t="s">
        <v>117</v>
      </c>
      <c r="B1" s="29"/>
      <c r="C1" s="29"/>
      <c r="D1" s="29"/>
      <c r="E1" s="29"/>
      <c r="F1" s="29"/>
      <c r="G1" s="29"/>
      <c r="H1" s="29"/>
      <c r="I1" s="29"/>
      <c r="J1" s="29"/>
      <c r="K1" s="29"/>
    </row>
    <row r="2" spans="1:11" s="6" customFormat="1" ht="19">
      <c r="A2" s="29" t="s">
        <v>162</v>
      </c>
      <c r="B2" s="29"/>
      <c r="C2" s="29"/>
      <c r="D2" s="29"/>
      <c r="E2" s="29"/>
      <c r="F2" s="29"/>
      <c r="G2" s="29"/>
      <c r="H2" s="29"/>
      <c r="I2" s="29"/>
      <c r="J2" s="29"/>
      <c r="K2" s="29"/>
    </row>
    <row r="3" spans="1:11" s="17" customFormat="1" ht="14">
      <c r="A3" s="17" t="s">
        <v>6</v>
      </c>
    </row>
    <row r="4" spans="1:11" s="8" customFormat="1" ht="14">
      <c r="A4" s="8" t="s">
        <v>118</v>
      </c>
      <c r="E4" s="33">
        <v>2200</v>
      </c>
    </row>
    <row r="5" spans="1:11" s="15" customFormat="1" ht="14">
      <c r="A5" s="15" t="s">
        <v>119</v>
      </c>
    </row>
    <row r="6" spans="1:11" s="8" customFormat="1" ht="14">
      <c r="A6" s="30" t="s">
        <v>120</v>
      </c>
      <c r="B6" s="30" t="s">
        <v>121</v>
      </c>
      <c r="C6" s="8" t="s">
        <v>122</v>
      </c>
    </row>
    <row r="7" spans="1:11" s="8" customFormat="1" ht="14">
      <c r="A7" s="30">
        <v>1</v>
      </c>
      <c r="B7" s="391">
        <v>2427</v>
      </c>
    </row>
    <row r="8" spans="1:11" s="8" customFormat="1" ht="14">
      <c r="A8" s="30">
        <v>2</v>
      </c>
      <c r="B8" s="391">
        <v>2376</v>
      </c>
    </row>
    <row r="9" spans="1:11" s="8" customFormat="1" ht="14">
      <c r="A9" s="30">
        <v>3</v>
      </c>
      <c r="B9" s="391">
        <v>2258</v>
      </c>
    </row>
    <row r="10" spans="1:11" s="8" customFormat="1" ht="14">
      <c r="A10" s="30">
        <v>4</v>
      </c>
      <c r="B10" s="391">
        <v>2039</v>
      </c>
    </row>
    <row r="11" spans="1:11" s="8" customFormat="1" ht="14">
      <c r="A11" s="30">
        <v>5</v>
      </c>
      <c r="B11" s="391">
        <v>1813</v>
      </c>
    </row>
    <row r="12" spans="1:11" s="8" customFormat="1" ht="14">
      <c r="A12" s="30" t="s">
        <v>123</v>
      </c>
      <c r="B12" s="328">
        <v>11935</v>
      </c>
    </row>
    <row r="13" spans="1:11" s="8" customFormat="1" ht="14"/>
    <row r="14" spans="1:11" s="31" customFormat="1" ht="17" thickBot="1">
      <c r="A14" s="31" t="s">
        <v>124</v>
      </c>
    </row>
    <row r="15" spans="1:11" s="8" customFormat="1" ht="15" thickBot="1">
      <c r="A15" s="8" t="s">
        <v>125</v>
      </c>
      <c r="C15" s="80">
        <f ca="1">'Cost of capital worksheet'!B23</f>
        <v>4.1299999999999996E-2</v>
      </c>
      <c r="D15" s="8" t="s">
        <v>237</v>
      </c>
    </row>
    <row r="16" spans="1:11" s="8" customFormat="1" ht="14"/>
    <row r="17" spans="1:7" s="8" customFormat="1" ht="14">
      <c r="D17" s="34"/>
    </row>
    <row r="18" spans="1:7" s="8" customFormat="1" ht="14">
      <c r="A18" s="8" t="s">
        <v>126</v>
      </c>
      <c r="D18" s="35">
        <f>IF(B12&gt;0,ROUND(B12/AVERAGE(B7:B11),0),0)</f>
        <v>5</v>
      </c>
      <c r="E18" s="8" t="s">
        <v>127</v>
      </c>
    </row>
    <row r="19" spans="1:7" s="17" customFormat="1" ht="14">
      <c r="E19" s="8" t="s">
        <v>128</v>
      </c>
    </row>
    <row r="20" spans="1:7" s="15" customFormat="1" ht="14">
      <c r="A20" s="15" t="s">
        <v>129</v>
      </c>
    </row>
    <row r="21" spans="1:7" s="8" customFormat="1" ht="14">
      <c r="A21" s="30" t="s">
        <v>120</v>
      </c>
      <c r="B21" s="30" t="s">
        <v>121</v>
      </c>
      <c r="C21" s="30" t="s">
        <v>130</v>
      </c>
    </row>
    <row r="22" spans="1:7" s="8" customFormat="1" ht="14">
      <c r="A22" s="19">
        <f>A7</f>
        <v>1</v>
      </c>
      <c r="B22" s="28">
        <f>B7</f>
        <v>2427</v>
      </c>
      <c r="C22" s="9">
        <f ca="1">B22/(1+$C$15)^A22</f>
        <v>2330.7404206280612</v>
      </c>
    </row>
    <row r="23" spans="1:7" s="8" customFormat="1" ht="14">
      <c r="A23" s="19">
        <f t="shared" ref="A23:B26" si="0">A8</f>
        <v>2</v>
      </c>
      <c r="B23" s="28">
        <f t="shared" si="0"/>
        <v>2376</v>
      </c>
      <c r="C23" s="9">
        <f ca="1">B23/(1+$C$15)^A23</f>
        <v>2191.2639783343757</v>
      </c>
    </row>
    <row r="24" spans="1:7" s="8" customFormat="1" ht="14">
      <c r="A24" s="19">
        <f t="shared" si="0"/>
        <v>3</v>
      </c>
      <c r="B24" s="28">
        <f t="shared" si="0"/>
        <v>2258</v>
      </c>
      <c r="C24" s="9">
        <f ca="1">B24/(1+$C$15)^A24</f>
        <v>1999.8449810208026</v>
      </c>
    </row>
    <row r="25" spans="1:7" s="8" customFormat="1" ht="14">
      <c r="A25" s="19">
        <f t="shared" si="0"/>
        <v>4</v>
      </c>
      <c r="B25" s="28">
        <f t="shared" si="0"/>
        <v>2039</v>
      </c>
      <c r="C25" s="9">
        <f ca="1">B25/(1+$C$15)^A25</f>
        <v>1734.2581823741548</v>
      </c>
    </row>
    <row r="26" spans="1:7" s="8" customFormat="1" ht="14">
      <c r="A26" s="19">
        <f t="shared" si="0"/>
        <v>5</v>
      </c>
      <c r="B26" s="28">
        <f t="shared" si="0"/>
        <v>1813</v>
      </c>
      <c r="C26" s="9">
        <f ca="1">B26/(1+$C$15)^A26</f>
        <v>1480.8752068950778</v>
      </c>
    </row>
    <row r="27" spans="1:7" s="8" customFormat="1" ht="15" thickBot="1">
      <c r="A27" s="36" t="str">
        <f>A12</f>
        <v>6 and beyond</v>
      </c>
      <c r="B27" s="37">
        <f>IF(B12&gt;0,IF(D18&gt;0,B12/D18,B12),0)</f>
        <v>2387</v>
      </c>
      <c r="C27" s="38">
        <f ca="1">IF(D18&gt;0,(B27*(1-(1+C15)^(-D18))/C15)/(1+$C$15)^5,B27/(1+C15)^6)</f>
        <v>8648.2158018395439</v>
      </c>
      <c r="D27" s="8" t="s">
        <v>131</v>
      </c>
    </row>
    <row r="28" spans="1:7" s="8" customFormat="1" ht="15" thickBot="1">
      <c r="A28" s="32" t="s">
        <v>132</v>
      </c>
      <c r="B28" s="39"/>
      <c r="C28" s="40">
        <f ca="1">SUM(C22:C27)</f>
        <v>18385.198571092016</v>
      </c>
    </row>
    <row r="29" spans="1:7" s="8" customFormat="1" ht="14"/>
    <row r="30" spans="1:7" s="8" customFormat="1" ht="14">
      <c r="A30" s="15" t="s">
        <v>133</v>
      </c>
    </row>
    <row r="31" spans="1:7" s="8" customFormat="1" ht="15" thickBot="1">
      <c r="A31" s="8" t="s">
        <v>134</v>
      </c>
      <c r="F31" s="38">
        <f ca="1">C28/(5+D18)</f>
        <v>1838.5198571092017</v>
      </c>
      <c r="G31" s="8" t="s">
        <v>135</v>
      </c>
    </row>
    <row r="32" spans="1:7" s="8" customFormat="1" ht="15" thickBot="1">
      <c r="A32" s="8" t="s">
        <v>136</v>
      </c>
      <c r="F32" s="81">
        <f ca="1">E4-F31</f>
        <v>361.48014289079833</v>
      </c>
      <c r="G32" s="8" t="s">
        <v>138</v>
      </c>
    </row>
    <row r="33" spans="1:7" s="8" customFormat="1" ht="15" thickBot="1">
      <c r="A33" s="8" t="s">
        <v>137</v>
      </c>
      <c r="F33" s="41">
        <f ca="1">C28</f>
        <v>18385.198571092016</v>
      </c>
      <c r="G33" s="8" t="s">
        <v>139</v>
      </c>
    </row>
    <row r="34" spans="1:7" ht="14">
      <c r="A34" s="8" t="s">
        <v>498</v>
      </c>
      <c r="F34" s="240">
        <f ca="1">C28/(5+D18)</f>
        <v>1838.5198571092017</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Input sheet</vt:lpstr>
      <vt:lpstr>Valuation output</vt:lpstr>
      <vt:lpstr>Stories to Numbers</vt:lpstr>
      <vt:lpstr>Summary Sheet</vt:lpstr>
      <vt:lpstr>Option value</vt:lpstr>
      <vt:lpstr>Diagnostics</vt:lpstr>
      <vt:lpstr>R&amp; D converter</vt:lpstr>
      <vt:lpstr>Operating lease converter</vt:lpstr>
      <vt:lpstr>Cost of capital worksheet</vt:lpstr>
      <vt:lpstr>Synthetic rating</vt:lpstr>
      <vt:lpstr>Industry Averages(US)</vt:lpstr>
      <vt:lpstr>Global industry averages</vt:lpstr>
      <vt:lpstr>Country equity risk premiums</vt:lpstr>
      <vt:lpstr>Trailing 12 month</vt:lpstr>
      <vt:lpstr>Answer keys</vt:lpstr>
    </vt:vector>
  </TitlesOfParts>
  <Company>Stern School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Aswath Damodaran</dc:creator>
  <cp:lastModifiedBy>Microsoft Office User</cp:lastModifiedBy>
  <cp:lastPrinted>2011-01-17T15:04:26Z</cp:lastPrinted>
  <dcterms:created xsi:type="dcterms:W3CDTF">2000-02-22T13:53:50Z</dcterms:created>
  <dcterms:modified xsi:type="dcterms:W3CDTF">2018-09-21T18:21:46Z</dcterms:modified>
</cp:coreProperties>
</file>